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59.xml" ContentType="application/vnd.openxmlformats-officedocument.spreadsheetml.externalLink+xml"/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школы " sheetId="1" r:id="rId1"/>
    <sheet name="доп.обр." sheetId="2" r:id="rId2"/>
    <sheet name="сады 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calcPr calcId="124519"/>
</workbook>
</file>

<file path=xl/calcChain.xml><?xml version="1.0" encoding="utf-8"?>
<calcChain xmlns="http://schemas.openxmlformats.org/spreadsheetml/2006/main">
  <c r="D29" i="2"/>
  <c r="F38" i="3"/>
  <c r="H22" i="1"/>
  <c r="H66"/>
  <c r="I66" s="1"/>
  <c r="H65"/>
  <c r="I65" s="1"/>
  <c r="H64"/>
  <c r="I64" s="1"/>
  <c r="H63"/>
  <c r="H62"/>
  <c r="I62" s="1"/>
  <c r="H59"/>
  <c r="I59" s="1"/>
  <c r="H56"/>
  <c r="I56" s="1"/>
  <c r="H54"/>
  <c r="H52"/>
  <c r="I52" s="1"/>
  <c r="H51"/>
  <c r="I51" s="1"/>
  <c r="H49"/>
  <c r="I49" s="1"/>
  <c r="H48"/>
  <c r="I48" s="1"/>
  <c r="H45"/>
  <c r="I45" s="1"/>
  <c r="H42"/>
  <c r="I42" s="1"/>
  <c r="H41"/>
  <c r="H40"/>
  <c r="I40" s="1"/>
  <c r="H39"/>
  <c r="I39" s="1"/>
  <c r="H36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H25"/>
  <c r="I25" s="1"/>
  <c r="H23"/>
  <c r="I23" s="1"/>
  <c r="F66"/>
  <c r="G66" s="1"/>
  <c r="F65"/>
  <c r="G65" s="1"/>
  <c r="F64"/>
  <c r="G64" s="1"/>
  <c r="F63"/>
  <c r="G63" s="1"/>
  <c r="F62"/>
  <c r="F61"/>
  <c r="G61" s="1"/>
  <c r="F60"/>
  <c r="G60" s="1"/>
  <c r="F59"/>
  <c r="G59" s="1"/>
  <c r="F58"/>
  <c r="G58" s="1"/>
  <c r="F57"/>
  <c r="G57" s="1"/>
  <c r="F56"/>
  <c r="G56" s="1"/>
  <c r="F55"/>
  <c r="G55" s="1"/>
  <c r="F54"/>
  <c r="G54" s="1"/>
  <c r="F52"/>
  <c r="G52" s="1"/>
  <c r="F51"/>
  <c r="G51" s="1"/>
  <c r="F50"/>
  <c r="G50" s="1"/>
  <c r="F49"/>
  <c r="G49" s="1"/>
  <c r="F48"/>
  <c r="G48" s="1"/>
  <c r="F45"/>
  <c r="G45" s="1"/>
  <c r="F42"/>
  <c r="G42" s="1"/>
  <c r="F41"/>
  <c r="G41" s="1"/>
  <c r="F40"/>
  <c r="G40" s="1"/>
  <c r="F39"/>
  <c r="G39" s="1"/>
  <c r="F37"/>
  <c r="G37" s="1"/>
  <c r="F36"/>
  <c r="G36" s="1"/>
  <c r="F35"/>
  <c r="G35" s="1"/>
  <c r="F34"/>
  <c r="G34" s="1"/>
  <c r="F32"/>
  <c r="G32" s="1"/>
  <c r="F31"/>
  <c r="G31" s="1"/>
  <c r="F30"/>
  <c r="G30" s="1"/>
  <c r="F29"/>
  <c r="G29" s="1"/>
  <c r="F28"/>
  <c r="G28" s="1"/>
  <c r="F25"/>
  <c r="G25" s="1"/>
  <c r="F23"/>
  <c r="G23" s="1"/>
  <c r="F22"/>
  <c r="J33" i="3"/>
  <c r="K33" s="1"/>
  <c r="J32"/>
  <c r="J31"/>
  <c r="K31" s="1"/>
  <c r="J30"/>
  <c r="K30" s="1"/>
  <c r="J29"/>
  <c r="K29" s="1"/>
  <c r="J28"/>
  <c r="J27"/>
  <c r="K27" s="1"/>
  <c r="J26"/>
  <c r="K26" s="1"/>
  <c r="L26" s="1"/>
  <c r="J24"/>
  <c r="J23"/>
  <c r="K23" s="1"/>
  <c r="J22"/>
  <c r="J21"/>
  <c r="K21" s="1"/>
  <c r="J20"/>
  <c r="K20" s="1"/>
  <c r="H33"/>
  <c r="I33" s="1"/>
  <c r="H32"/>
  <c r="I32" s="1"/>
  <c r="H31"/>
  <c r="I31" s="1"/>
  <c r="H30"/>
  <c r="I30" s="1"/>
  <c r="H29"/>
  <c r="H28"/>
  <c r="I28" s="1"/>
  <c r="H27"/>
  <c r="I27" s="1"/>
  <c r="H25"/>
  <c r="H24"/>
  <c r="I24" s="1"/>
  <c r="H23"/>
  <c r="H21"/>
  <c r="I21" s="1"/>
  <c r="H20"/>
  <c r="I20" s="1"/>
  <c r="F28" i="2"/>
  <c r="G28" s="1"/>
  <c r="F27"/>
  <c r="G27" s="1"/>
  <c r="F26"/>
  <c r="G26" s="1"/>
  <c r="F25"/>
  <c r="G25" s="1"/>
  <c r="F24"/>
  <c r="F23"/>
  <c r="G23" s="1"/>
  <c r="H28"/>
  <c r="H27"/>
  <c r="I27" s="1"/>
  <c r="H26"/>
  <c r="I26" s="1"/>
  <c r="H25"/>
  <c r="I25" s="1"/>
  <c r="H24"/>
  <c r="I24" s="1"/>
  <c r="H23"/>
  <c r="I23" s="1"/>
  <c r="K22" i="3"/>
  <c r="L22" s="1"/>
  <c r="K24"/>
  <c r="K25"/>
  <c r="K28"/>
  <c r="K32"/>
  <c r="I22"/>
  <c r="I23"/>
  <c r="I25"/>
  <c r="L25" s="1"/>
  <c r="I26"/>
  <c r="I29"/>
  <c r="I28" i="2"/>
  <c r="G24"/>
  <c r="I27" i="1"/>
  <c r="I41"/>
  <c r="I47"/>
  <c r="I54"/>
  <c r="I61"/>
  <c r="I63"/>
  <c r="I22"/>
  <c r="G38"/>
  <c r="G62"/>
  <c r="G22"/>
  <c r="J27" l="1"/>
  <c r="J61"/>
  <c r="J38" i="3"/>
  <c r="K38"/>
  <c r="L23"/>
  <c r="L24"/>
  <c r="L27"/>
  <c r="L28"/>
  <c r="L29"/>
  <c r="L30"/>
  <c r="L31"/>
  <c r="L32"/>
  <c r="L33"/>
  <c r="L21"/>
  <c r="G29" i="2"/>
  <c r="H29"/>
  <c r="I29"/>
  <c r="F29"/>
  <c r="J26"/>
  <c r="J24"/>
  <c r="J25"/>
  <c r="J23"/>
  <c r="J27"/>
  <c r="J28"/>
  <c r="J23" i="1"/>
  <c r="J25"/>
  <c r="J28"/>
  <c r="J29"/>
  <c r="J30"/>
  <c r="J31"/>
  <c r="J32"/>
  <c r="J34"/>
  <c r="J35"/>
  <c r="J36"/>
  <c r="J39"/>
  <c r="J40"/>
  <c r="J41"/>
  <c r="J42"/>
  <c r="J45"/>
  <c r="J48"/>
  <c r="J49"/>
  <c r="J51"/>
  <c r="J52"/>
  <c r="J54"/>
  <c r="J56"/>
  <c r="J59"/>
  <c r="J62"/>
  <c r="J63"/>
  <c r="J64"/>
  <c r="J65"/>
  <c r="J66"/>
  <c r="J22"/>
  <c r="F67"/>
  <c r="G67" s="1"/>
  <c r="E61"/>
  <c r="F53"/>
  <c r="G53" s="1"/>
  <c r="F47"/>
  <c r="G47" s="1"/>
  <c r="J47" s="1"/>
  <c r="E47"/>
  <c r="F46"/>
  <c r="G46" s="1"/>
  <c r="F44"/>
  <c r="G44" s="1"/>
  <c r="F43"/>
  <c r="G43" s="1"/>
  <c r="F33"/>
  <c r="G33" s="1"/>
  <c r="J33" s="1"/>
  <c r="F26"/>
  <c r="G26" s="1"/>
  <c r="F24"/>
  <c r="G24" s="1"/>
  <c r="H67"/>
  <c r="I67" s="1"/>
  <c r="H60"/>
  <c r="I60" s="1"/>
  <c r="J60" s="1"/>
  <c r="H58"/>
  <c r="I58" s="1"/>
  <c r="J58" s="1"/>
  <c r="H57"/>
  <c r="I57" s="1"/>
  <c r="J57" s="1"/>
  <c r="H55"/>
  <c r="I55" s="1"/>
  <c r="J55" s="1"/>
  <c r="H53"/>
  <c r="I53" s="1"/>
  <c r="H50"/>
  <c r="I50" s="1"/>
  <c r="J50" s="1"/>
  <c r="H46"/>
  <c r="I46" s="1"/>
  <c r="H44"/>
  <c r="I44" s="1"/>
  <c r="H43"/>
  <c r="I43" s="1"/>
  <c r="H38"/>
  <c r="I38" s="1"/>
  <c r="J38" s="1"/>
  <c r="H37"/>
  <c r="I37" s="1"/>
  <c r="J37" s="1"/>
  <c r="H26"/>
  <c r="I26" s="1"/>
  <c r="H24"/>
  <c r="I24" s="1"/>
  <c r="E28" i="2"/>
  <c r="E27"/>
  <c r="E26"/>
  <c r="E25"/>
  <c r="E24"/>
  <c r="D25"/>
  <c r="D24"/>
  <c r="E23"/>
  <c r="E67" i="1"/>
  <c r="E66"/>
  <c r="D67"/>
  <c r="D66"/>
  <c r="E65"/>
  <c r="E64"/>
  <c r="E63"/>
  <c r="D64"/>
  <c r="D63"/>
  <c r="E62"/>
  <c r="I98" l="1"/>
  <c r="J44"/>
  <c r="J67"/>
  <c r="J24"/>
  <c r="J53"/>
  <c r="J26"/>
  <c r="J43"/>
  <c r="J46"/>
  <c r="F98"/>
  <c r="G98"/>
  <c r="H38" i="3"/>
  <c r="H98" i="1"/>
  <c r="E60"/>
  <c r="D60"/>
  <c r="E59"/>
  <c r="E58"/>
  <c r="E57"/>
  <c r="D58"/>
  <c r="D57"/>
  <c r="E56"/>
  <c r="E55"/>
  <c r="D55"/>
  <c r="E54"/>
  <c r="E53"/>
  <c r="E52"/>
  <c r="D53"/>
  <c r="D52"/>
  <c r="E51"/>
  <c r="E50"/>
  <c r="E49"/>
  <c r="D50"/>
  <c r="D49"/>
  <c r="E46"/>
  <c r="D46"/>
  <c r="E44"/>
  <c r="E43"/>
  <c r="D44"/>
  <c r="D43"/>
  <c r="E36"/>
  <c r="E34"/>
  <c r="D34"/>
  <c r="E33"/>
  <c r="D33"/>
  <c r="E32"/>
  <c r="E31"/>
  <c r="I38" i="3" l="1"/>
  <c r="L20"/>
  <c r="D98" i="1"/>
</calcChain>
</file>

<file path=xl/sharedStrings.xml><?xml version="1.0" encoding="utf-8"?>
<sst xmlns="http://schemas.openxmlformats.org/spreadsheetml/2006/main" count="282" uniqueCount="139">
  <si>
    <t>Наименование</t>
  </si>
  <si>
    <t>Итого</t>
  </si>
  <si>
    <t>Заработная плата руководителей муниципальных бюджетных общеобразовательных  учреждений за 2016г.</t>
  </si>
  <si>
    <t>Занимаемая должность</t>
  </si>
  <si>
    <t>ФИО</t>
  </si>
  <si>
    <t>директор</t>
  </si>
  <si>
    <t>Занимаемая ставка</t>
  </si>
  <si>
    <t>Фризен Алексей Николаевич</t>
  </si>
  <si>
    <t>Алтынбаев Рашит Маратович</t>
  </si>
  <si>
    <t>зам.директора</t>
  </si>
  <si>
    <t>Темирова Римма Юрьевна</t>
  </si>
  <si>
    <t>Райманова Гульсимя Зинатовна</t>
  </si>
  <si>
    <t>Каскинова Зиля Вакильевна</t>
  </si>
  <si>
    <t>Шишкина Татьяна Михайловна</t>
  </si>
  <si>
    <t>Ротова Наталья Сергеевна</t>
  </si>
  <si>
    <t>Столбаушкина Эльвира Ильясовна</t>
  </si>
  <si>
    <t>Овсянникова Нина Ивановна</t>
  </si>
  <si>
    <t>Мирошник Юлия Геннадьевна</t>
  </si>
  <si>
    <t>Тарасова Ирина Павловна</t>
  </si>
  <si>
    <t>Зима Николай Васильевич</t>
  </si>
  <si>
    <t>Рытова Ирина Владимировна</t>
  </si>
  <si>
    <t>Гатиятова Фаина Ханивовна</t>
  </si>
  <si>
    <t>Драный Александр Иванович</t>
  </si>
  <si>
    <t>Колташенко Василий Васильевич</t>
  </si>
  <si>
    <t>Квашенникова Татьяна Васильевна</t>
  </si>
  <si>
    <t>МБУ ДО "Дом детского творчества"</t>
  </si>
  <si>
    <t>МБУ ДО "Детско-юношеская спортивная школа"</t>
  </si>
  <si>
    <t>Заработная плата руководителей муниципальных бюджетных учреждений дошкольного образования за 2016г.</t>
  </si>
  <si>
    <t>МБОУ "Ивановский детский сад"</t>
  </si>
  <si>
    <t>МБОУ "Кинзельский детский сад"</t>
  </si>
  <si>
    <t>МБОУ "Новоюласинский детский сад"</t>
  </si>
  <si>
    <t>МБОУ "Плешановский детский сад №2"</t>
  </si>
  <si>
    <t>МБОУ "Пролетарский  детский сад"</t>
  </si>
  <si>
    <t>МБОУ "Петровский детский сад"</t>
  </si>
  <si>
    <t>МБОУ "Пушкинский  детский сад"</t>
  </si>
  <si>
    <t>МБОУ "Преображенский детский сад"</t>
  </si>
  <si>
    <t>МБОУ "Староюлдашевский детский сад"</t>
  </si>
  <si>
    <t>МБОУ "Староникольский детский сад"</t>
  </si>
  <si>
    <t>МБОУ "Свердловский детский сад"</t>
  </si>
  <si>
    <t>МБОУ "Токский детский сад"</t>
  </si>
  <si>
    <t>МБОУ "Яшкинский детский сад"</t>
  </si>
  <si>
    <t>заведующий</t>
  </si>
  <si>
    <t>*4</t>
  </si>
  <si>
    <t>*8</t>
  </si>
  <si>
    <t>Батяева Валентина Петровна</t>
  </si>
  <si>
    <t>Щукина Наталья Александровна</t>
  </si>
  <si>
    <t>Нейфельд Ольга Андреевна</t>
  </si>
  <si>
    <t>Бочарова Наталья Николаевна</t>
  </si>
  <si>
    <t>Мамбетова Гульсира Гибадулловна</t>
  </si>
  <si>
    <t>Семина Румия Авзаховна</t>
  </si>
  <si>
    <t>Темирова Эльвира Вакильевна</t>
  </si>
  <si>
    <t>Чубрукова Людмила Александровна</t>
  </si>
  <si>
    <t>Ильясова Альфия Галимовна</t>
  </si>
  <si>
    <t>Каскинова Шакира Закировна</t>
  </si>
  <si>
    <t>Мещерякова Светлана Владимировна</t>
  </si>
  <si>
    <t>Щербовских Анна Александровна</t>
  </si>
  <si>
    <t>Капитанчук Марина Николаевна</t>
  </si>
  <si>
    <t>МБОУ "Плешановский сад №1"</t>
  </si>
  <si>
    <t>Средняя заработная плата 01.09.2016г. (с 01.09.2016г.-31.12.2016г.)</t>
  </si>
  <si>
    <t>Средняя заработная плата 01.09.2015г.( с 01.01.2016-31.08.2016.)</t>
  </si>
  <si>
    <t>Средняя заработная плата 01.09.2015г. с 01.01.2016-31.08.2016.</t>
  </si>
  <si>
    <t>Кузнецов Дмитрий Анатольевич</t>
  </si>
  <si>
    <t>Кисаева Наталья Петровна</t>
  </si>
  <si>
    <t>Азнабаева Рауфа Зинатовна</t>
  </si>
  <si>
    <t>Васильев Олег Алексеевич</t>
  </si>
  <si>
    <t>Реймер Элла Эдуардовна</t>
  </si>
  <si>
    <t>Гаврилова Елена Григорьевна</t>
  </si>
  <si>
    <t>Изаак Татьяна Романовна</t>
  </si>
  <si>
    <t>Тишкина Ольга Владимировна</t>
  </si>
  <si>
    <t>Салихова Ирина Робертовна</t>
  </si>
  <si>
    <t>гл.бухгалтер</t>
  </si>
  <si>
    <t>Бочкарева Светлана Юрьевна</t>
  </si>
  <si>
    <t>МБОУ "Красногвардейская гимназия"</t>
  </si>
  <si>
    <t>Беккер Марина Александровна</t>
  </si>
  <si>
    <t>Классен Светлана Викторовна</t>
  </si>
  <si>
    <t>Кудашкина Светлана Николаевна</t>
  </si>
  <si>
    <t>Ильясова Гульмира Ахмаровна</t>
  </si>
  <si>
    <t>Бахтиярова Зулира Зиннуровна</t>
  </si>
  <si>
    <t>Исанбитова Айгуль Самигулловна</t>
  </si>
  <si>
    <t>Бурангулова Эльвира Газизовна</t>
  </si>
  <si>
    <t>Шпенст Светлана Владимировна</t>
  </si>
  <si>
    <t>Травкин Геннадий Александрович</t>
  </si>
  <si>
    <t>главный бухгалтер</t>
  </si>
  <si>
    <t>Платова Ирина Сергеевна</t>
  </si>
  <si>
    <t>Средняя заработная плата за 2016год</t>
  </si>
  <si>
    <t>Средняя заработная плата за 2016г.</t>
  </si>
  <si>
    <t>Буцина Лариса Петровна</t>
  </si>
  <si>
    <t>Захарова Валентина Николаевна</t>
  </si>
  <si>
    <t>МБОУ "Подольский сад"</t>
  </si>
  <si>
    <t>Наточий Наталья Николаевна</t>
  </si>
  <si>
    <t>Долгошеина Лариса Сергеевна</t>
  </si>
  <si>
    <t>Отдел образования администрации</t>
  </si>
  <si>
    <t>Красногвардейского района</t>
  </si>
  <si>
    <t>461150 с. Плешаново, ул. Мира, 3</t>
  </si>
  <si>
    <t>телефоны: 8 (35345) 3-12-72,</t>
  </si>
  <si>
    <t>Тел/факс:    8 (35345) 3-15-42</t>
  </si>
  <si>
    <t>e-mail: krroo@mail.ru</t>
  </si>
  <si>
    <t>56ouo25@obraz-orenburg.ru</t>
  </si>
  <si>
    <t xml:space="preserve">Руководителю аппарата </t>
  </si>
  <si>
    <t>администрации района</t>
  </si>
  <si>
    <t>Шарипову М.М.</t>
  </si>
  <si>
    <t>тел. 3-23-06</t>
  </si>
  <si>
    <t>Начальник отдела образования</t>
  </si>
  <si>
    <t>Н.В.Травкина</t>
  </si>
  <si>
    <t>Заработная плата руководителей муниципальных бюджетных   учреждений доп. образования за 2016г.</t>
  </si>
  <si>
    <t>тел.3-23-06</t>
  </si>
  <si>
    <t>Руководителю аппарата</t>
  </si>
  <si>
    <t xml:space="preserve">Пояснение: В МБОУ "Петровский детский сад" в течении 2016года работала Щербовских А.А., </t>
  </si>
  <si>
    <r>
      <t>затем, после ухода в декр.отпуск, приняли Капитанчук М.Н. Средняя зарплата заведующего-</t>
    </r>
    <r>
      <rPr>
        <b/>
        <sz val="10"/>
        <color theme="1"/>
        <rFont val="Times New Roman"/>
        <family val="1"/>
        <charset val="204"/>
      </rPr>
      <t>16344,67</t>
    </r>
  </si>
  <si>
    <t>Григорян Светлана Евгеньевна</t>
  </si>
  <si>
    <t>Эпп Ирина Сергеевна</t>
  </si>
  <si>
    <t>Герцен Светлана Ивановна</t>
  </si>
  <si>
    <t>Бобылева Дина Петровна</t>
  </si>
  <si>
    <t>Вовнякова Наталья Валерьевна</t>
  </si>
  <si>
    <t>Красношлык Марина Александровна</t>
  </si>
  <si>
    <t>Кучаева Гульнура Тимербулатовна</t>
  </si>
  <si>
    <t>Бессонова Раиса Ивановна</t>
  </si>
  <si>
    <t>Исп.: О.Н.Трубникова</t>
  </si>
  <si>
    <t>МБОУ "Ишальская начальная общеобразовательная школа"</t>
  </si>
  <si>
    <t>МБОУ "Староюлдашевская основная общеобразовательная школа"</t>
  </si>
  <si>
    <t>МБОУ "Основная общеобразовательная школа имени Даута Юлтыя"</t>
  </si>
  <si>
    <t>МБОУ "Ибряевская начальная общеобразовательная школа"</t>
  </si>
  <si>
    <t>МБОУ "Залесовская основная общеобразовательная школа"</t>
  </si>
  <si>
    <t>МБОУ "Ивановская основная общеобразовательная школа"</t>
  </si>
  <si>
    <t>МБОУ "Кинзельская средняя общеобразовательная школа"</t>
  </si>
  <si>
    <t>МБОУ "Нижнекристальская средняя общеобразовательная школа"</t>
  </si>
  <si>
    <t>МБОУ "Никольская средняя общеобразовательная школа"</t>
  </si>
  <si>
    <t>МБОУ "Новоюласинская средняя общеобразовательная школа"</t>
  </si>
  <si>
    <t>МБОУ "Петровская средняя общеобразовательная школа"</t>
  </si>
  <si>
    <t>МБОУ "Преображенская средняя общеобразовательная школа"</t>
  </si>
  <si>
    <t>МБОУ "Пролетарская средняя общеобразовательная школа"</t>
  </si>
  <si>
    <t>МБОУ "Пушкинская средняя общеобразовательная школа"</t>
  </si>
  <si>
    <t>МБОУ "Свердловская средняя общеобразовательная школа"</t>
  </si>
  <si>
    <t>МБОУ "Староникольская основная общеобразовательная школа"</t>
  </si>
  <si>
    <t>МБОУ "Токская средняя общеобразовательная школа"</t>
  </si>
  <si>
    <t>МБОУ "Яшкинская средняя общеобразовательная школа"</t>
  </si>
  <si>
    <t>МБОУ "Подольская средняя общеобразовательная школа"</t>
  </si>
  <si>
    <t>МБОУ "Красногвардейская средняя общеобразовательная школа №1"</t>
  </si>
  <si>
    <t>Тарасенко Игорь Владимирович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</si>
</sst>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3" fillId="0" borderId="0" xfId="0" applyFont="1"/>
    <xf numFmtId="0" fontId="1" fillId="0" borderId="2" xfId="0" applyFont="1" applyBorder="1"/>
    <xf numFmtId="0" fontId="3" fillId="0" borderId="2" xfId="0" applyFont="1" applyBorder="1"/>
    <xf numFmtId="0" fontId="2" fillId="2" borderId="2" xfId="0" applyFont="1" applyFill="1" applyBorder="1"/>
    <xf numFmtId="0" fontId="3" fillId="0" borderId="2" xfId="0" applyFont="1" applyBorder="1" applyAlignment="1">
      <alignment horizontal="center" wrapText="1"/>
    </xf>
    <xf numFmtId="4" fontId="1" fillId="0" borderId="2" xfId="0" applyNumberFormat="1" applyFont="1" applyBorder="1"/>
    <xf numFmtId="9" fontId="3" fillId="0" borderId="2" xfId="0" applyNumberFormat="1" applyFont="1" applyBorder="1" applyAlignment="1">
      <alignment horizontal="center" wrapText="1"/>
    </xf>
    <xf numFmtId="4" fontId="1" fillId="2" borderId="2" xfId="0" applyNumberFormat="1" applyFont="1" applyFill="1" applyBorder="1"/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/>
    <xf numFmtId="9" fontId="3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3" borderId="3" xfId="0" applyFont="1" applyFill="1" applyBorder="1"/>
    <xf numFmtId="0" fontId="0" fillId="0" borderId="2" xfId="0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/>
    <xf numFmtId="9" fontId="3" fillId="0" borderId="2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4" fontId="3" fillId="0" borderId="2" xfId="0" applyNumberFormat="1" applyFont="1" applyBorder="1" applyAlignment="1">
      <alignment horizontal="center"/>
    </xf>
    <xf numFmtId="0" fontId="4" fillId="2" borderId="1" xfId="0" applyFont="1" applyFill="1" applyBorder="1"/>
    <xf numFmtId="0" fontId="6" fillId="4" borderId="0" xfId="0" applyFont="1" applyFill="1" applyAlignment="1">
      <alignment horizontal="center" vertical="top" wrapText="1"/>
    </xf>
    <xf numFmtId="0" fontId="7" fillId="4" borderId="0" xfId="0" applyFont="1" applyFill="1" applyAlignment="1">
      <alignment horizontal="center" vertical="top" wrapText="1"/>
    </xf>
    <xf numFmtId="0" fontId="8" fillId="4" borderId="0" xfId="0" applyFont="1" applyFill="1" applyAlignment="1">
      <alignment horizontal="center" vertical="top" wrapText="1"/>
    </xf>
    <xf numFmtId="0" fontId="9" fillId="4" borderId="0" xfId="1" applyFont="1" applyFill="1" applyAlignment="1" applyProtection="1">
      <alignment horizontal="center" vertical="top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" fillId="0" borderId="0" xfId="0" applyFont="1" applyAlignment="1">
      <alignment horizontal="right"/>
    </xf>
    <xf numFmtId="0" fontId="13" fillId="2" borderId="2" xfId="0" applyFont="1" applyFill="1" applyBorder="1"/>
    <xf numFmtId="0" fontId="0" fillId="0" borderId="0" xfId="0" applyAlignment="1"/>
    <xf numFmtId="0" fontId="12" fillId="0" borderId="0" xfId="0" applyFont="1" applyAlignment="1"/>
    <xf numFmtId="0" fontId="14" fillId="0" borderId="0" xfId="0" applyFont="1" applyAlignment="1"/>
    <xf numFmtId="0" fontId="2" fillId="2" borderId="2" xfId="0" applyFont="1" applyFill="1" applyBorder="1" applyAlignment="1">
      <alignment wrapText="1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" fontId="1" fillId="0" borderId="0" xfId="0" applyNumberFormat="1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externalLink" Target="externalLinks/externalLink60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61" Type="http://schemas.openxmlformats.org/officeDocument/2006/relationships/externalLink" Target="externalLinks/externalLink58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theme" Target="theme/theme1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calcChain" Target="calcChain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1019175</xdr:colOff>
      <xdr:row>2</xdr:row>
      <xdr:rowOff>19050</xdr:rowOff>
    </xdr:from>
    <xdr:to>
      <xdr:col>1</xdr:col>
      <xdr:colOff>1489710</xdr:colOff>
      <xdr:row>5</xdr:row>
      <xdr:rowOff>5715</xdr:rowOff>
    </xdr:to>
    <xdr:pic>
      <xdr:nvPicPr>
        <xdr:cNvPr id="2" name="Picture 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43025" y="381000"/>
          <a:ext cx="470535" cy="529590"/>
        </a:xfrm>
        <a:prstGeom prst="flowChartProcess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1129664</xdr:colOff>
      <xdr:row>2</xdr:row>
      <xdr:rowOff>38100</xdr:rowOff>
    </xdr:from>
    <xdr:to>
      <xdr:col>1</xdr:col>
      <xdr:colOff>1600199</xdr:colOff>
      <xdr:row>5</xdr:row>
      <xdr:rowOff>24765</xdr:rowOff>
    </xdr:to>
    <xdr:pic>
      <xdr:nvPicPr>
        <xdr:cNvPr id="2" name="Picture 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0639" y="400050"/>
          <a:ext cx="470535" cy="529590"/>
        </a:xfrm>
        <a:prstGeom prst="flowChartProcess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1038225</xdr:colOff>
      <xdr:row>2</xdr:row>
      <xdr:rowOff>66675</xdr:rowOff>
    </xdr:from>
    <xdr:to>
      <xdr:col>1</xdr:col>
      <xdr:colOff>1449705</xdr:colOff>
      <xdr:row>5</xdr:row>
      <xdr:rowOff>53340</xdr:rowOff>
    </xdr:to>
    <xdr:pic>
      <xdr:nvPicPr>
        <xdr:cNvPr id="5" name="Picture 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" y="428625"/>
          <a:ext cx="411480" cy="529590"/>
        </a:xfrm>
        <a:prstGeom prst="flowChartProcess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&#1048;&#1096;&#1072;&#1083;&#1100;&#1089;&#1082;&#1072;&#1103;%20&#1053;&#1054;&#1064;%20&#1085;&#1072;%2001.09.2016%20&#1090;&#1072;&#1088;&#1080;&#1092;&#1080;&#1082;&#1072;&#1094;&#1080;&#1103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2%20&#1050;&#1080;&#1085;&#1079;&#1077;&#1083;&#1100;&#1089;&#1082;&#1072;&#1103;%20&#1057;&#1054;&#1064;%2001.09.20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77;&#1088;&#1072;%20&#1089;&#1077;&#1090;&#1100;\&#1074;&#1077;&#1088;&#1072;\2015\&#1042;&#1057;&#1045;%20&#1063;&#1058;&#1054;%20&#1057;&#1044;&#1040;&#1070;&#1058;%20&#1058;&#1040;&#1056;&#1048;&#1060;&#1048;&#1050;&#1040;&#1062;&#1048;&#1071;%202015-2016\&#1096;&#1082;&#1086;&#1083;&#1099;%20&#1089;&#1084;&#1086;&#1090;&#1088;&#1077;&#1083;&#1072;\&#1050;&#1080;&#1085;&#1079;&#1077;&#1083;&#1100;&#1089;&#1082;&#1072;&#1103;%20&#1057;&#1054;&#1064;%2001.09.201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77;&#1088;&#1072;%20&#1089;&#1077;&#1090;&#1100;\&#1074;&#1077;&#1088;&#1072;\2015\&#1042;&#1057;&#1045;%20&#1063;&#1058;&#1054;%20&#1057;&#1044;&#1040;&#1070;&#1058;%20&#1058;&#1040;&#1056;&#1048;&#1060;&#1048;&#1050;&#1040;&#1062;&#1048;&#1071;%202015-2016\&#1096;&#1082;&#1086;&#1083;&#1099;%20&#1089;&#1084;&#1086;&#1090;&#1088;&#1077;&#1083;&#1072;\&#1053;&#1080;&#1078;&#1085;&#1077;&#1082;&#1088;&#1080;&#1089;&#1090;&#1072;&#1083;&#1100;&#1089;&#1082;&#1072;&#1103;%20&#1057;&#1054;&#1064;%2001.09.201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2%20%20&#1053;&#1080;&#1078;&#1085;&#1077;&#1082;&#1088;&#1080;&#1089;&#1090;&#1072;&#1083;&#1100;&#1089;&#1082;&#1072;&#1103;%20&#1057;&#1054;&#1064;%2001.09.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77;&#1088;&#1072;%20&#1089;&#1077;&#1090;&#1100;\&#1074;&#1077;&#1088;&#1072;\2015\&#1042;&#1057;&#1045;%20&#1063;&#1058;&#1054;%20&#1057;&#1044;&#1040;&#1070;&#1058;%20&#1058;&#1040;&#1056;&#1048;&#1060;&#1048;&#1050;&#1040;&#1062;&#1048;&#1071;%202015-2016\&#1096;&#1082;&#1086;&#1083;&#1099;%20&#1089;&#1084;&#1086;&#1090;&#1088;&#1077;&#1083;&#1072;\&#1053;&#1080;&#1082;&#1086;&#1083;&#1100;&#1089;&#1082;&#1072;&#1103;%20&#1057;&#1054;&#1064;%2001.09.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53;&#1080;&#1082;&#1086;&#1083;&#1100;&#1089;&#1082;&#1072;&#1103;%20&#1057;&#1054;&#1064;%2001.09.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77;&#1088;&#1072;%20&#1089;&#1077;&#1090;&#1100;\&#1074;&#1077;&#1088;&#1072;\2015\&#1042;&#1057;&#1045;%20&#1063;&#1058;&#1054;%20&#1057;&#1044;&#1040;&#1070;&#1058;%20&#1058;&#1040;&#1056;&#1048;&#1060;&#1048;&#1050;&#1040;&#1062;&#1048;&#1071;%202015-2016\&#1096;&#1082;&#1086;&#1083;&#1099;%20&#1089;&#1084;&#1086;&#1090;&#1088;&#1077;&#1083;&#1072;\&#1053;&#1086;&#1074;&#1086;&#1102;&#1083;&#1072;&#1089;&#1080;&#1085;&#1089;&#1082;&#1072;&#1103;%20&#1057;&#1054;&#1064;%20%2001.09.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2%20&#1053;&#1086;&#1074;&#1086;&#1102;&#1083;&#1072;&#1089;&#1080;&#1085;&#1089;&#1082;&#1072;&#1103;%20&#1057;&#1054;&#1064;%20%2001.09.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77;&#1088;&#1072;%20&#1089;&#1077;&#1090;&#1100;\&#1074;&#1077;&#1088;&#1072;\2015\&#1042;&#1057;&#1045;%20&#1063;&#1058;&#1054;%20&#1057;&#1044;&#1040;&#1070;&#1058;%20&#1058;&#1040;&#1056;&#1048;&#1060;&#1048;&#1050;&#1040;&#1062;&#1048;&#1071;%202015-2016\&#1096;&#1082;&#1086;&#1083;&#1099;%20&#1089;&#1084;&#1086;&#1090;&#1088;&#1077;&#1083;&#1072;\&#1055;&#1077;&#1090;&#1088;&#1086;&#1074;&#1089;&#1082;&#1072;&#1103;%20&#1054;&#1054;&#1064;%2001.09.201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2%20&#1055;&#1077;&#1090;&#1088;&#1086;&#1074;&#1089;&#1082;&#1072;&#1103;%20&#1054;&#1054;&#1064;%2001.09.2016%20&#1090;&#1072;&#1088;&#1080;&#1092;&#1080;&#1082;&#1072;&#1094;&#1080;&#1103;%20&#1080;%20&#1096;&#1090;&#1072;&#1090;&#1085;&#1086;&#1077;%20&#1088;&#1072;&#1089;&#1087;&#1080;&#1089;&#1072;&#1085;&#1080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77;&#1088;&#1072;%20&#1089;&#1077;&#1090;&#1100;\&#1074;&#1077;&#1088;&#1072;\2015\&#1042;&#1057;&#1045;%20&#1063;&#1058;&#1054;%20&#1057;&#1044;&#1040;&#1070;&#1058;%20&#1058;&#1040;&#1056;&#1048;&#1060;&#1048;&#1050;&#1040;&#1062;&#1048;&#1071;%202015-2016\&#1096;&#1082;&#1086;&#1083;&#1099;%20&#1089;&#1084;&#1086;&#1090;&#1088;&#1077;&#1083;&#1072;\&#1057;&#1090;&#1072;&#1088;&#1086;&#1102;&#1083;&#1076;&#1072;&#1096;&#1077;&#1074;&#1089;&#1082;&#1072;&#1103;%20%20&#1054;&#1054;&#1064;%2001.09.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77;&#1088;&#1072;%20&#1089;&#1077;&#1090;&#1100;\&#1074;&#1077;&#1088;&#1072;\2015\&#1042;&#1057;&#1045;%20&#1063;&#1058;&#1054;%20&#1057;&#1044;&#1040;&#1070;&#1058;%20&#1058;&#1040;&#1056;&#1048;&#1060;&#1048;&#1050;&#1040;&#1062;&#1048;&#1071;%202015-2016\&#1096;&#1082;&#1086;&#1083;&#1099;%20&#1089;&#1084;&#1086;&#1090;&#1088;&#1077;&#1083;&#1072;\&#1055;&#1088;&#1077;&#1086;&#1073;&#1088;&#1072;&#1078;&#1077;&#1085;&#1089;&#1082;&#1072;&#1103;%20&#1057;&#1054;&#1064;%2001.09.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1055;&#1088;&#1077;&#1086;&#1073;&#1088;&#1072;&#1078;&#1077;&#1085;&#1089;&#1082;&#1072;&#1103;%20&#1057;&#1054;&#1064;%20&#1090;&#1072;&#1088;&#1080;&#1092;&#1080;&#1082;&#1072;&#1094;&#1080;&#1103;%202016%20&#1075;&#1086;&#1076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2%20&#1055;&#1088;&#1086;&#1083;&#1077;&#1090;&#1072;&#1088;&#1089;&#1082;&#1072;&#1103;%20&#1057;&#1054;&#1064;%2001.09.201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77;&#1088;&#1072;%20&#1089;&#1077;&#1090;&#1100;\&#1074;&#1077;&#1088;&#1072;\2015\&#1042;&#1057;&#1045;%20&#1063;&#1058;&#1054;%20&#1057;&#1044;&#1040;&#1070;&#1058;%20&#1058;&#1040;&#1056;&#1048;&#1060;&#1048;&#1050;&#1040;&#1062;&#1048;&#1071;%202015-2016\&#1096;&#1082;&#1086;&#1083;&#1099;%20&#1089;&#1084;&#1086;&#1090;&#1088;&#1077;&#1083;&#1072;\&#1055;&#1088;&#1086;&#1083;&#1077;&#1090;&#1072;&#1088;&#1089;&#1082;&#1072;&#1103;%20&#1057;&#1054;&#1064;%2001.09.201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2%20&#1055;&#1091;&#1096;&#1082;&#1080;&#1085;&#1089;&#1082;&#1072;&#1103;%20&#1057;&#1054;&#1064;%2001.09.201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77;&#1088;&#1072;%20&#1089;&#1077;&#1090;&#1100;\&#1074;&#1077;&#1088;&#1072;\2015\&#1042;&#1057;&#1045;%20&#1063;&#1058;&#1054;%20&#1057;&#1044;&#1040;&#1070;&#1058;%20&#1058;&#1040;&#1056;&#1048;&#1060;&#1048;&#1050;&#1040;&#1062;&#1048;&#1071;%202015-2016\&#1096;&#1082;&#1086;&#1083;&#1099;%20&#1089;&#1084;&#1086;&#1090;&#1088;&#1077;&#1083;&#1072;\&#1055;&#1091;&#1096;&#1082;&#1080;&#1085;&#1089;&#1082;&#1072;&#1103;%20&#1057;&#1054;&#1064;%2001.09.201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2%20%20&#1057;&#1074;&#1077;&#1088;&#1076;&#1083;&#1086;&#1074;&#1086;%20201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77;&#1088;&#1072;%20&#1089;&#1077;&#1090;&#1100;\&#1074;&#1077;&#1088;&#1072;\2015\&#1042;&#1057;&#1045;%20&#1063;&#1058;&#1054;%20&#1057;&#1044;&#1040;&#1070;&#1058;%20&#1058;&#1040;&#1056;&#1048;&#1060;&#1048;&#1050;&#1040;&#1062;&#1048;&#1071;%202015-2016\&#1096;&#1082;&#1086;&#1083;&#1099;%20&#1089;&#1084;&#1086;&#1090;&#1088;&#1077;&#1083;&#1072;\&#1057;&#1074;&#1077;&#1088;&#1076;&#1083;&#1086;&#1074;&#1089;&#1082;&#1072;&#1103;%20&#1057;&#1054;&#1064;%2001.09.201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2%20&#1057;&#1090;&#1072;&#1088;&#1086;&#1085;&#1080;&#1082;&#1086;&#1083;&#1100;&#1089;&#1082;&#1072;%20&#1058;&#1072;&#1088;&#1080;&#1092;&#1080;&#1082;&#1072;&#1094;&#1080;&#1103;%20201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77;&#1088;&#1072;%20&#1089;&#1077;&#1090;&#1100;\&#1074;&#1077;&#1088;&#1072;\2015\&#1042;&#1057;&#1045;%20&#1063;&#1058;&#1054;%20&#1057;&#1044;&#1040;&#1070;&#1058;%20&#1058;&#1040;&#1056;&#1048;&#1060;&#1048;&#1050;&#1040;&#1062;&#1048;&#1071;%202015-2016\&#1096;&#1082;&#1086;&#1083;&#1099;%20&#1089;&#1084;&#1086;&#1090;&#1088;&#1077;&#1083;&#1072;\&#1057;&#1090;&#1072;&#1088;&#1086;&#1085;&#1080;&#1082;&#1086;&#1083;&#1100;&#1089;&#1082;&#1072;&#1103;%20&#1054;&#1054;&#1064;%2001.09.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%20&#1057;&#1090;&#1072;&#1088;&#1086;&#1102;&#1083;&#1076;&#1072;&#1096;&#1077;&#1074;&#1089;&#1082;&#1072;&#1103;%20%20&#1054;&#1054;&#1064;%2001.09.16%20(1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2%20&#1058;&#1086;&#1082;&#1089;&#1082;&#1072;&#1103;%20&#1057;&#1054;&#1064;%20%2001.09.2016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77;&#1088;&#1072;%20&#1089;&#1077;&#1090;&#1100;\&#1074;&#1077;&#1088;&#1072;\2015\&#1042;&#1057;&#1045;%20&#1063;&#1058;&#1054;%20&#1057;&#1044;&#1040;&#1070;&#1058;%20&#1058;&#1040;&#1056;&#1048;&#1060;&#1048;&#1050;&#1040;&#1062;&#1048;&#1071;%202015-2016\&#1096;&#1082;&#1086;&#1083;&#1099;%20&#1089;&#1084;&#1086;&#1090;&#1088;&#1077;&#1083;&#1072;\&#1058;&#1086;&#1082;&#1089;&#1082;&#1072;&#1103;%20&#1057;&#1054;&#1064;%20%2001.09.201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2%20&#1071;&#1096;&#1082;&#1080;&#1085;&#1089;&#1082;&#1072;&#1103;%20&#1089;&#1086;&#1096;%20&#1090;&#1072;&#1088;&#1080;&#1092;&#1080;&#1082;&#1072;&#1094;&#1080;&#1103;%2001.09.2016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77;&#1088;&#1072;%20&#1089;&#1077;&#1090;&#1100;\&#1074;&#1077;&#1088;&#1072;\2015\&#1042;&#1057;&#1045;%20&#1063;&#1058;&#1054;%20&#1057;&#1044;&#1040;&#1070;&#1058;%20&#1058;&#1040;&#1056;&#1048;&#1060;&#1048;&#1050;&#1040;&#1062;&#1048;&#1071;%202015-2016\&#1096;&#1082;&#1086;&#1083;&#1099;%20&#1089;&#1084;&#1086;&#1090;&#1088;&#1077;&#1083;&#1072;\&#1071;&#1096;&#1082;&#1080;&#1085;&#1089;&#1082;&#1072;&#1103;%20&#1057;&#1054;&#1064;%20%2001.09.201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0;&#1088;&#1077;&#1082;&#1090;&#1086;&#1088;/Desktop/&#1042;&#1089;&#1077;,%20&#1095;&#1090;&#1086;%20&#1089;&#1076;&#1072;&#1102;&#1090;%202016-2017/&#1044;&#1086;&#1087;.&#1086;&#1073;&#1088;&#1072;&#1079;&#1086;&#1074;&#1072;&#1085;&#1080;&#1077;%202016&#1075;/&#1044;&#1044;&#1058;%20&#1090;&#1072;&#1088;&#1080;&#1092;%201%20&#1089;&#1077;&#1085;&#1090;&#1103;&#1073;&#1088;&#1103;%202016%20&#1075;.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77;&#1088;&#1072;%20&#1089;&#1077;&#1090;&#1100;\&#1074;&#1077;&#1088;&#1072;\2015\&#1042;&#1057;&#1045;%20&#1063;&#1058;&#1054;%20&#1057;&#1044;&#1040;&#1070;&#1058;%20&#1058;&#1040;&#1056;&#1048;&#1060;&#1048;&#1050;&#1040;&#1062;&#1048;&#1071;%202015-2016\&#1044;&#1044;&#1058;%2001.09.2015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0;&#1088;&#1077;&#1082;&#1090;&#1086;&#1088;/Desktop/&#1042;&#1089;&#1077;,%20&#1095;&#1090;&#1086;%20&#1089;&#1076;&#1072;&#1102;&#1090;%202016-2017/&#1044;&#1086;&#1087;.&#1086;&#1073;&#1088;&#1072;&#1079;&#1086;&#1074;&#1072;&#1085;&#1080;&#1077;%202016&#1075;/&#1044;&#1070;&#1057;&#1064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77;&#1088;&#1072;%20&#1089;&#1077;&#1090;&#1100;\&#1074;&#1077;&#1088;&#1072;\2015\&#1042;&#1057;&#1045;%20&#1063;&#1058;&#1054;%20&#1057;&#1044;&#1040;&#1070;&#1058;%20&#1058;&#1040;&#1056;&#1048;&#1060;&#1048;&#1050;&#1040;&#1062;&#1048;&#1071;%202015-2016\&#1044;&#1070;&#1057;&#1064;%2001.09.201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77;&#1088;&#1072;%20&#1089;&#1077;&#1090;&#1100;\&#1074;&#1077;&#1088;&#1072;\2015\&#1042;&#1057;&#1045;%20&#1063;&#1058;&#1054;%20&#1057;&#1044;&#1040;&#1070;&#1058;%20&#1058;&#1040;&#1056;&#1048;&#1060;&#1048;&#1050;&#1040;&#1062;&#1048;&#1071;%202015-2016\&#1089;&#1072;&#1076;&#1099;%20&#1089;&#1084;&#1086;&#1090;&#1088;&#1077;&#1083;&#1072;\&#1048;&#1074;&#1072;&#1085;&#1086;&#1074;&#1089;&#1082;&#1080;&#1081;%20%2001.09.2015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0;&#1088;&#1077;&#1082;&#1090;&#1086;&#1088;/Desktop/&#1042;&#1089;&#1077;,%20&#1095;&#1090;&#1086;%20&#1089;&#1076;&#1072;&#1102;&#1090;%202016-2017/&#1076;&#1077;&#1090;&#1089;&#1082;&#1080;&#1077;%20&#1089;&#1072;&#1076;&#1099;%202016%20&#1075;/&#1048;&#1074;&#1072;&#1085;&#1086;&#1074;&#1089;&#1082;&#1080;&#1081;%20&#1076;.&#1089;.%20&#1085;&#1072;%201.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77;&#1088;&#1072;%20&#1089;&#1077;&#1090;&#1100;\&#1074;&#1077;&#1088;&#1072;\2015\&#1042;&#1057;&#1045;%20&#1063;&#1058;&#1054;%20&#1057;&#1044;&#1040;&#1070;&#1058;%20&#1058;&#1040;&#1056;&#1048;&#1060;&#1048;&#1050;&#1040;&#1062;&#1048;&#1071;%202015-2016\&#1096;&#1082;&#1086;&#1083;&#1099;%20&#1089;&#1084;&#1086;&#1090;&#1088;&#1077;&#1083;&#1072;\&#1044;.&#1070;&#1083;&#1090;&#1099;&#1103;%20&#1054;&#1054;&#1064;%2001.09.201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77;&#1088;&#1072;%20&#1089;&#1077;&#1090;&#1100;\&#1074;&#1077;&#1088;&#1072;\2015\&#1042;&#1057;&#1045;%20&#1063;&#1058;&#1054;%20&#1057;&#1044;&#1040;&#1070;&#1058;%20&#1058;&#1040;&#1056;&#1048;&#1060;&#1048;&#1050;&#1040;&#1062;&#1048;&#1071;%202015-2016\&#1089;&#1072;&#1076;&#1099;%20&#1089;&#1084;&#1086;&#1090;&#1088;&#1077;&#1083;&#1072;\&#1050;&#1080;&#1085;&#1079;&#1077;&#1083;&#1100;&#1089;&#1082;&#1080;&#1081;%2001.09.2015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0;&#1088;&#1077;&#1082;&#1090;&#1086;&#1088;/Desktop/&#1042;&#1089;&#1077;,%20&#1095;&#1090;&#1086;%20&#1089;&#1076;&#1072;&#1102;&#1090;%202016-2017/&#1076;&#1077;&#1090;&#1089;&#1082;&#1080;&#1077;%20&#1089;&#1072;&#1076;&#1099;%202016%20&#1075;/&#1050;&#1080;&#1085;&#1079;&#1077;&#1083;&#1100;&#1089;&#1082;&#1080;&#1081;%2001.09.201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0;&#1088;&#1077;&#1082;&#1090;&#1086;&#1088;/Desktop/&#1042;&#1089;&#1077;,%20&#1095;&#1090;&#1086;%20&#1089;&#1076;&#1072;&#1102;&#1090;%202016-2017/&#1076;&#1077;&#1090;&#1089;&#1082;&#1080;&#1077;%20&#1089;&#1072;&#1076;&#1099;%202016%20&#1075;/&#1053;&#1086;&#1074;&#1086;&#1102;&#1083;&#1072;&#1089;&#1077;&#1085;&#1089;&#1082;&#1080;&#1081;%2001.09.2016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0;&#1088;&#1077;&#1082;&#1090;&#1086;&#1088;/Desktop/&#1042;&#1089;&#1077;,%20&#1095;&#1090;&#1086;%20&#1089;&#1076;&#1072;&#1102;&#1090;%202016-2017/&#1076;&#1077;&#1090;&#1089;&#1082;&#1080;&#1077;%20&#1089;&#1072;&#1076;&#1099;%202016%20&#1075;/&#1055;&#1083;&#1077;&#1096;&#1072;&#1085;&#1086;&#1074;&#1089;&#1082;&#1080;&#1081;%20&#8470;%202%2001.09.2015%20(2)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77;&#1088;&#1072;%20&#1089;&#1077;&#1090;&#1100;\&#1074;&#1077;&#1088;&#1072;\2015\&#1042;&#1057;&#1045;%20&#1063;&#1058;&#1054;%20&#1057;&#1044;&#1040;&#1070;&#1058;%20&#1058;&#1040;&#1056;&#1048;&#1060;&#1048;&#1050;&#1040;&#1062;&#1048;&#1071;%202015-2016\&#1089;&#1072;&#1076;&#1099;%20&#1089;&#1084;&#1086;&#1090;&#1088;&#1077;&#1083;&#1072;\&#1055;&#1088;&#1086;&#1083;&#1077;&#1090;&#1072;&#1088;&#1089;&#1082;&#1080;&#1081;%20%2001.09.201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0;&#1088;&#1077;&#1082;&#1090;&#1086;&#1088;/Desktop/&#1042;&#1089;&#1077;,%20&#1095;&#1090;&#1086;%20&#1089;&#1076;&#1072;&#1102;&#1090;%202016-2017/&#1076;&#1077;&#1090;&#1089;&#1082;&#1080;&#1077;%20&#1089;&#1072;&#1076;&#1099;%202016%20&#1075;/&#1055;&#1088;&#1086;&#1083;&#1077;&#1090;&#1072;&#1088;&#1089;&#1082;&#1080;&#1081;%20%2001.09.201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0;&#1088;&#1077;&#1082;&#1090;&#1086;&#1088;/Desktop/&#1042;&#1089;&#1077;,%20&#1095;&#1090;&#1086;%20&#1089;&#1076;&#1072;&#1102;&#1090;%202016-2017/&#1076;&#1077;&#1090;&#1089;&#1082;&#1080;&#1077;%20&#1089;&#1072;&#1076;&#1099;%202016%20&#1075;/&#1055;&#1077;&#1090;&#1088;&#1086;&#1074;&#1089;&#1082;&#1080;&#1081;%2001.09.2016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77;&#1088;&#1072;%20&#1089;&#1077;&#1090;&#1100;\&#1074;&#1077;&#1088;&#1072;\2015\&#1042;&#1057;&#1045;%20&#1063;&#1058;&#1054;%20&#1057;&#1044;&#1040;&#1070;&#1058;%20&#1058;&#1040;&#1056;&#1048;&#1060;&#1048;&#1050;&#1040;&#1062;&#1048;&#1071;%202015-2016\&#1089;&#1072;&#1076;&#1099;%20&#1089;&#1084;&#1086;&#1090;&#1088;&#1077;&#1083;&#1072;\&#1055;&#1091;&#1096;&#1082;&#1080;&#1085;&#1089;&#1082;&#1080;&#1081;%2001.09.2015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0;&#1088;&#1077;&#1082;&#1090;&#1086;&#1088;/Desktop/&#1042;&#1089;&#1077;,%20&#1095;&#1090;&#1086;%20&#1089;&#1076;&#1072;&#1102;&#1090;%202016-2017/&#1076;&#1077;&#1090;&#1089;&#1082;&#1080;&#1077;%20&#1089;&#1072;&#1076;&#1099;%202016%20&#1075;/&#1055;&#1091;&#1096;&#1082;&#1080;&#1085;&#1089;&#1082;&#1080;&#1081;%2001.09.201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77;&#1088;&#1072;%20&#1089;&#1077;&#1090;&#1100;\&#1074;&#1077;&#1088;&#1072;\2015\&#1042;&#1057;&#1045;%20&#1063;&#1058;&#1054;%20&#1057;&#1044;&#1040;&#1070;&#1058;%20&#1058;&#1040;&#1056;&#1048;&#1060;&#1048;&#1050;&#1040;&#1062;&#1048;&#1071;%202015-2016\&#1089;&#1072;&#1076;&#1099;%20&#1089;&#1084;&#1086;&#1090;&#1088;&#1077;&#1083;&#1072;\&#1055;&#1088;&#1077;&#1086;&#1073;&#1088;&#1072;&#1078;&#1077;&#1085;&#1089;&#1082;&#1080;&#1081;%20%2001.09.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%20&#1044;.&#1070;&#1083;&#1090;&#1099;&#1103;%20&#1054;&#1054;&#1064;%2001.09.2016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0;&#1088;&#1077;&#1082;&#1090;&#1086;&#1088;/Desktop/&#1042;&#1089;&#1077;,%20&#1095;&#1090;&#1086;%20&#1089;&#1076;&#1072;&#1102;&#1090;%202016-2017/&#1076;&#1077;&#1090;&#1089;&#1082;&#1080;&#1077;%20&#1089;&#1072;&#1076;&#1099;%202016%20&#1075;/&#1058;&#1072;&#1088;&#1080;&#1092;&#1080;&#1082;&#1072;&#1094;.2016%20&#1055;&#1088;&#1077;&#1086;&#1073;&#1088;&#1072;&#1078;&#1077;&#1085;&#1089;&#1082;&#1080;&#1081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77;&#1088;&#1072;%20&#1089;&#1077;&#1090;&#1100;\&#1074;&#1077;&#1088;&#1072;\2015\&#1042;&#1057;&#1045;%20&#1063;&#1058;&#1054;%20&#1057;&#1044;&#1040;&#1070;&#1058;%20&#1058;&#1040;&#1056;&#1048;&#1060;&#1048;&#1050;&#1040;&#1062;&#1048;&#1071;%202015-2016\&#1089;&#1072;&#1076;&#1099;%20&#1089;&#1084;&#1086;&#1090;&#1088;&#1077;&#1083;&#1072;\&#1057;&#1090;&#1072;&#1088;&#1086;&#1102;&#1083;&#1076;&#1072;&#1096;&#1077;&#1074;&#1089;&#1082;&#1080;&#1081;%20%2001.09.201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0;&#1088;&#1077;&#1082;&#1090;&#1086;&#1088;/Desktop/&#1042;&#1089;&#1077;,%20&#1095;&#1090;&#1086;%20&#1089;&#1076;&#1072;&#1102;&#1090;%202016-2017/&#1076;&#1077;&#1090;&#1089;&#1082;&#1080;&#1077;%20&#1089;&#1072;&#1076;&#1099;%202016%20&#1075;/&#1057;&#1090;&#1072;&#1088;&#1086;&#1102;&#1083;&#1076;&#1072;&#1096;&#1077;&#1074;&#1089;&#1082;&#1080;&#1081;%20%2001.09.2016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77;&#1088;&#1072;%20&#1089;&#1077;&#1090;&#1100;\&#1074;&#1077;&#1088;&#1072;\2015\&#1042;&#1057;&#1045;%20&#1063;&#1058;&#1054;%20&#1057;&#1044;&#1040;&#1070;&#1058;%20&#1058;&#1040;&#1056;&#1048;&#1060;&#1048;&#1050;&#1040;&#1062;&#1048;&#1071;%202015-2016\&#1089;&#1072;&#1076;&#1099;%20&#1089;&#1084;&#1086;&#1090;&#1088;&#1077;&#1083;&#1072;\&#1057;&#1090;&#1072;&#1088;&#1086;&#1085;&#1080;&#1082;&#1086;&#1083;&#1100;&#1089;&#1082;&#1080;&#1081;%20%2001.09.2015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0;&#1088;&#1077;&#1082;&#1090;&#1086;&#1088;/Desktop/&#1042;&#1089;&#1077;,%20&#1095;&#1090;&#1086;%20&#1089;&#1076;&#1072;&#1102;&#1090;%202016-2017/&#1076;&#1077;&#1090;&#1089;&#1082;&#1080;&#1077;%20&#1089;&#1072;&#1076;&#1099;%202016%20&#1075;/&#1057;&#1090;&#1072;&#1088;&#1086;&#1085;&#1080;&#1082;&#1086;&#1083;&#1100;&#1089;&#1082;&#1080;&#1081;%20%2001.09.2016%20&#1042;&#1045;&#1056;&#1053;&#1054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77;&#1088;&#1072;%20&#1089;&#1077;&#1090;&#1100;\&#1074;&#1077;&#1088;&#1072;\2015\&#1042;&#1057;&#1045;%20&#1063;&#1058;&#1054;%20&#1057;&#1044;&#1040;&#1070;&#1058;%20&#1058;&#1040;&#1056;&#1048;&#1060;&#1048;&#1050;&#1040;&#1062;&#1048;&#1071;%202015-2016\&#1089;&#1072;&#1076;&#1099;%20&#1089;&#1084;&#1086;&#1090;&#1088;&#1077;&#1083;&#1072;\&#1057;&#1074;&#1077;&#1088;&#1076;&#1083;&#1086;&#1074;&#1089;&#1082;&#1080;&#1081;%2001.09.2015%20-%20&#1085;&#1072;%2001.11.15&#1075;.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0;&#1088;&#1077;&#1082;&#1090;&#1086;&#1088;/Desktop/&#1042;&#1089;&#1077;,%20&#1095;&#1090;&#1086;%20&#1089;&#1076;&#1072;&#1102;&#1090;%202016-2017/&#1076;&#1077;&#1090;&#1089;&#1082;&#1080;&#1077;%20&#1089;&#1072;&#1076;&#1099;%202016%20&#1075;/&#1057;&#1074;&#1077;&#1088;&#1076;&#1083;&#1086;&#1074;&#1089;&#1082;&#1080;&#1081;%2001.09.2016&#1075;.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77;&#1088;&#1072;%20&#1089;&#1077;&#1090;&#1100;\&#1074;&#1077;&#1088;&#1072;\2015\&#1042;&#1057;&#1045;%20&#1063;&#1058;&#1054;%20&#1057;&#1044;&#1040;&#1070;&#1058;%20&#1058;&#1040;&#1056;&#1048;&#1060;&#1048;&#1050;&#1040;&#1062;&#1048;&#1071;%202015-2016\&#1089;&#1072;&#1076;&#1099;%20&#1089;&#1084;&#1086;&#1090;&#1088;&#1077;&#1083;&#1072;\&#1058;&#1086;&#1082;&#1089;&#1082;&#1080;&#1081;%2001.09.2015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0;&#1088;&#1077;&#1082;&#1090;&#1086;&#1088;/Desktop/&#1042;&#1089;&#1077;,%20&#1095;&#1090;&#1086;%20&#1089;&#1076;&#1072;&#1102;&#1090;%202016-2017/&#1076;&#1077;&#1090;&#1089;&#1082;&#1080;&#1077;%20&#1089;&#1072;&#1076;&#1099;%202016%20&#1075;/&#1058;&#1086;&#1082;&#1089;&#1082;&#1080;&#1081;%2001.09.2016&#1075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77;&#1088;&#1072;%20&#1089;&#1077;&#1090;&#1100;\&#1074;&#1077;&#1088;&#1072;\2015\&#1042;&#1057;&#1045;%20&#1063;&#1058;&#1054;%20&#1057;&#1044;&#1040;&#1070;&#1058;%20&#1058;&#1040;&#1056;&#1048;&#1060;&#1048;&#1050;&#1040;&#1062;&#1048;&#1071;%202015-2016\&#1089;&#1072;&#1076;&#1099;%20&#1089;&#1084;&#1086;&#1090;&#1088;&#1077;&#1083;&#1072;\&#1071;&#1096;&#1082;&#1080;&#1085;&#1089;&#1082;&#1080;&#1081;%2001.09.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77;&#1088;&#1072;%20&#1089;&#1077;&#1090;&#1100;\&#1074;&#1077;&#1088;&#1072;\2015\&#1042;&#1057;&#1045;%20&#1063;&#1058;&#1054;%20&#1057;&#1044;&#1040;&#1070;&#1058;%20&#1058;&#1040;&#1056;&#1048;&#1060;&#1048;&#1050;&#1040;&#1062;&#1048;&#1071;%202015-2016\&#1096;&#1082;&#1086;&#1083;&#1099;%20&#1089;&#1084;&#1086;&#1090;&#1088;&#1077;&#1083;&#1072;\&#1047;&#1072;&#1083;&#1077;&#1089;&#1086;&#1074;&#1089;&#1082;&#1072;&#1103;%20&#1054;&#1054;&#1064;%20%2001.09.201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0;&#1088;&#1077;&#1082;&#1090;&#1086;&#1088;/Desktop/&#1042;&#1089;&#1077;,%20&#1095;&#1090;&#1086;%20&#1089;&#1076;&#1072;&#1102;&#1090;%202016-2017/&#1076;&#1077;&#1090;&#1089;&#1082;&#1080;&#1077;%20&#1089;&#1072;&#1076;&#1099;%202016%20&#1075;/&#1071;&#1096;&#1082;&#1080;&#1085;&#1089;&#1082;&#1080;&#1081;%2001.09.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%20&#1047;&#1072;&#1083;&#1077;&#1089;&#1086;&#1074;&#1089;&#1082;&#1072;&#1103;%20&#1054;&#1054;&#1064;%20%2001.09.20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77;&#1088;&#1072;%20&#1089;&#1077;&#1090;&#1100;\&#1074;&#1077;&#1088;&#1072;\2015\&#1042;&#1057;&#1045;%20&#1063;&#1058;&#1054;%20&#1057;&#1044;&#1040;&#1070;&#1058;%20&#1058;&#1040;&#1056;&#1048;&#1060;&#1048;&#1050;&#1040;&#1062;&#1048;&#1071;%202015-2016\&#1096;&#1082;&#1086;&#1083;&#1099;%20&#1089;&#1084;&#1086;&#1090;&#1088;&#1077;&#1083;&#1072;\&#1048;&#1074;&#1072;&#1085;&#1086;&#1074;&#1089;&#1082;&#1072;&#1103;%20&#1054;&#1054;&#1064;%2001.09.20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%20&#1048;&#1074;&#1072;&#1085;&#1086;&#1074;&#1089;&#1082;&#1072;&#1103;%20&#1054;&#1054;&#1064;%2001.09.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расчет ДО (ставок)"/>
      <sheetName val="Расчет  наполняемости  классов"/>
      <sheetName val="рук 1,4 с 01.12.2016г."/>
      <sheetName val="рук"/>
    </sheetNames>
    <sheetDataSet>
      <sheetData sheetId="0"/>
      <sheetData sheetId="1"/>
      <sheetData sheetId="2"/>
      <sheetData sheetId="3">
        <row r="39">
          <cell r="J39">
            <v>18822.719755883401</v>
          </cell>
        </row>
      </sheetData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с 01.02.2017г."/>
      <sheetName val="расчет ДО (ставок) "/>
      <sheetName val="зам"/>
      <sheetName val="рук"/>
    </sheetNames>
    <sheetDataSet>
      <sheetData sheetId="0"/>
      <sheetData sheetId="1"/>
      <sheetData sheetId="2"/>
      <sheetData sheetId="3">
        <row r="6">
          <cell r="B6" t="str">
            <v>Муштакова Галина Владимировна</v>
          </cell>
          <cell r="J6">
            <v>33479.846782035827</v>
          </cell>
        </row>
        <row r="16">
          <cell r="B16" t="str">
            <v>Хаустова Наталья Николаевна</v>
          </cell>
          <cell r="D16">
            <v>0.5</v>
          </cell>
          <cell r="J16">
            <v>13391.93871281433</v>
          </cell>
        </row>
        <row r="17">
          <cell r="B17" t="str">
            <v>Бобылева Любовь Александровна</v>
          </cell>
          <cell r="D17">
            <v>1</v>
          </cell>
          <cell r="J17">
            <v>26783.87742562866</v>
          </cell>
        </row>
      </sheetData>
      <sheetData sheetId="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расчет ДО (ставок) 01.01.16г."/>
      <sheetName val="расчет ДО (ставок)"/>
      <sheetName val="зам"/>
      <sheetName val="рук"/>
    </sheetNames>
    <sheetDataSet>
      <sheetData sheetId="0"/>
      <sheetData sheetId="1"/>
      <sheetData sheetId="2"/>
      <sheetData sheetId="3">
        <row r="6">
          <cell r="J6">
            <v>29979.874400000001</v>
          </cell>
        </row>
        <row r="16">
          <cell r="J16">
            <v>11991.949760000001</v>
          </cell>
        </row>
        <row r="17">
          <cell r="J17">
            <v>23983.899520000003</v>
          </cell>
        </row>
      </sheetData>
      <sheetData sheetId="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 01.01.16г."/>
      <sheetName val="тарификация"/>
      <sheetName val="расчет ДО (ставок) 01.01.16г."/>
      <sheetName val="расчет ДО (ставок)"/>
      <sheetName val="зам"/>
      <sheetName val="рук"/>
    </sheetNames>
    <sheetDataSet>
      <sheetData sheetId="0"/>
      <sheetData sheetId="1"/>
      <sheetData sheetId="2"/>
      <sheetData sheetId="3"/>
      <sheetData sheetId="4">
        <row r="6">
          <cell r="J6">
            <v>31900.024800000003</v>
          </cell>
        </row>
        <row r="16">
          <cell r="J16">
            <v>25520.019840000004</v>
          </cell>
        </row>
        <row r="17">
          <cell r="J17">
            <v>22117.350527999999</v>
          </cell>
        </row>
      </sheetData>
      <sheetData sheetId="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расчет ДО (ставок)"/>
      <sheetName val="зам"/>
      <sheetName val="рук"/>
    </sheetNames>
    <sheetDataSet>
      <sheetData sheetId="0"/>
      <sheetData sheetId="1"/>
      <sheetData sheetId="2">
        <row r="6">
          <cell r="J6">
            <v>27741.928091826441</v>
          </cell>
        </row>
        <row r="16">
          <cell r="B16" t="str">
            <v>Пешкова Вера Ивановна</v>
          </cell>
          <cell r="J16">
            <v>22193.542473461155</v>
          </cell>
        </row>
        <row r="17">
          <cell r="J17">
            <v>4808.6008692499172</v>
          </cell>
        </row>
        <row r="18">
          <cell r="J18">
            <v>3846.8806953999342</v>
          </cell>
        </row>
      </sheetData>
      <sheetData sheetId="3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расчет ДО (ставок) (2)"/>
      <sheetName val="расчет ДО (ставок)"/>
      <sheetName val="зам"/>
      <sheetName val="рук"/>
    </sheetNames>
    <sheetDataSet>
      <sheetData sheetId="0"/>
      <sheetData sheetId="1"/>
      <sheetData sheetId="2"/>
      <sheetData sheetId="3">
        <row r="6">
          <cell r="J6">
            <v>28692.418341523346</v>
          </cell>
        </row>
        <row r="16">
          <cell r="J16">
            <v>8475.2989562653584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расчет ДО (ставок)"/>
      <sheetName val="зам"/>
      <sheetName val="рук"/>
    </sheetNames>
    <sheetDataSet>
      <sheetData sheetId="0"/>
      <sheetData sheetId="1"/>
      <sheetData sheetId="2">
        <row r="6">
          <cell r="J6">
            <v>31527.951058443603</v>
          </cell>
        </row>
        <row r="16">
          <cell r="J16">
            <v>13662.112125325561</v>
          </cell>
        </row>
        <row r="17">
          <cell r="J17">
            <v>6831.0560626627803</v>
          </cell>
        </row>
      </sheetData>
      <sheetData sheetId="3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расчет ДО (ставок)на 01.01.16"/>
      <sheetName val="расчет ДО (ставок)"/>
      <sheetName val="зам"/>
      <sheetName val="штат"/>
      <sheetName val="рук"/>
    </sheetNames>
    <sheetDataSet>
      <sheetData sheetId="0"/>
      <sheetData sheetId="1"/>
      <sheetData sheetId="2"/>
      <sheetData sheetId="3">
        <row r="6">
          <cell r="J6">
            <v>34329.115520000007</v>
          </cell>
        </row>
        <row r="16">
          <cell r="J16">
            <v>7061.9894784000007</v>
          </cell>
        </row>
        <row r="17">
          <cell r="J17">
            <v>8238.9877248000012</v>
          </cell>
        </row>
      </sheetData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расчет ДО (ставок)"/>
      <sheetName val="зам"/>
      <sheetName val="штат"/>
      <sheetName val="рук"/>
      <sheetName val="Лист1"/>
    </sheetNames>
    <sheetDataSet>
      <sheetData sheetId="0"/>
      <sheetData sheetId="1"/>
      <sheetData sheetId="2">
        <row r="6">
          <cell r="J6">
            <v>39558.366355371661</v>
          </cell>
        </row>
        <row r="16">
          <cell r="B16" t="str">
            <v>Праведная Ирина Александровна</v>
          </cell>
          <cell r="D16">
            <v>0.3</v>
          </cell>
          <cell r="J16">
            <v>8137.7210788193142</v>
          </cell>
        </row>
        <row r="17">
          <cell r="B17" t="str">
            <v>Драная Людмила Александровна</v>
          </cell>
          <cell r="D17">
            <v>0.3</v>
          </cell>
          <cell r="J17">
            <v>9494.0079252891974</v>
          </cell>
        </row>
      </sheetData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расчет ДО (ставок)"/>
      <sheetName val="расчет наполняемости"/>
      <sheetName val="зам"/>
      <sheetName val="рук"/>
    </sheetNames>
    <sheetDataSet>
      <sheetData sheetId="0"/>
      <sheetData sheetId="1"/>
      <sheetData sheetId="2"/>
      <sheetData sheetId="3">
        <row r="6">
          <cell r="J6">
            <v>30629.024789999999</v>
          </cell>
        </row>
        <row r="16">
          <cell r="J16">
            <v>6125.8049580000006</v>
          </cell>
        </row>
        <row r="17">
          <cell r="B17" t="str">
            <v>Мкртчян Елена Николаевна</v>
          </cell>
          <cell r="J17">
            <v>5654.5891920000004</v>
          </cell>
        </row>
      </sheetData>
      <sheetData sheetId="4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расчет ДО (ставок)"/>
      <sheetName val="расчет наполняемости"/>
      <sheetName val="зам"/>
      <sheetName val="рук"/>
      <sheetName val="штатное  на 01.09.2016"/>
    </sheetNames>
    <sheetDataSet>
      <sheetData sheetId="0"/>
      <sheetData sheetId="1"/>
      <sheetData sheetId="2"/>
      <sheetData sheetId="3">
        <row r="6">
          <cell r="J6">
            <v>26126.28155313633</v>
          </cell>
        </row>
        <row r="16">
          <cell r="B16" t="str">
            <v>Бем Татьяна Ивановна</v>
          </cell>
          <cell r="D16">
            <v>0.5</v>
          </cell>
          <cell r="J16">
            <v>10450.512621254533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расчет до 01.01.16г."/>
      <sheetName val="расчет до"/>
      <sheetName val="штат"/>
      <sheetName val="зам"/>
      <sheetName val="рук"/>
    </sheetNames>
    <sheetDataSet>
      <sheetData sheetId="0"/>
      <sheetData sheetId="1"/>
      <sheetData sheetId="2"/>
      <sheetData sheetId="3"/>
      <sheetData sheetId="4">
        <row r="6">
          <cell r="J6">
            <v>23350.063172413793</v>
          </cell>
        </row>
        <row r="16">
          <cell r="J16">
            <v>9340.025268965519</v>
          </cell>
        </row>
      </sheetData>
      <sheetData sheetId="5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расчет ДО (ставок)"/>
      <sheetName val="шт"/>
      <sheetName val="зам"/>
      <sheetName val="рук"/>
      <sheetName val="Лист1"/>
    </sheetNames>
    <sheetDataSet>
      <sheetData sheetId="0"/>
      <sheetData sheetId="1"/>
      <sheetData sheetId="2"/>
      <sheetData sheetId="3">
        <row r="6">
          <cell r="J6">
            <v>28776.238399999998</v>
          </cell>
        </row>
        <row r="16">
          <cell r="J16">
            <v>23020.990720000002</v>
          </cell>
        </row>
        <row r="17">
          <cell r="J17">
            <v>5755.2476800000004</v>
          </cell>
        </row>
      </sheetData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расчет ДО (ставок)"/>
      <sheetName val="шт"/>
      <sheetName val="зам"/>
      <sheetName val="рук"/>
    </sheetNames>
    <sheetDataSet>
      <sheetData sheetId="0"/>
      <sheetData sheetId="1"/>
      <sheetData sheetId="2"/>
      <sheetData sheetId="3">
        <row r="6">
          <cell r="J6">
            <v>32963.022361192016</v>
          </cell>
        </row>
        <row r="16">
          <cell r="B16" t="str">
            <v>Тюрина Татьяна Алексеевна</v>
          </cell>
          <cell r="D16">
            <v>0.75</v>
          </cell>
          <cell r="J16">
            <v>19777.813416715213</v>
          </cell>
        </row>
        <row r="17">
          <cell r="B17" t="str">
            <v>Абдрашитова Умет Жардешевна</v>
          </cell>
          <cell r="D17">
            <v>0.25</v>
          </cell>
          <cell r="J17">
            <v>6592.604472238404</v>
          </cell>
        </row>
      </sheetData>
      <sheetData sheetId="4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расчет ДО (ставок)"/>
      <sheetName val="зам"/>
      <sheetName val="рук"/>
      <sheetName val="наполн"/>
    </sheetNames>
    <sheetDataSet>
      <sheetData sheetId="0"/>
      <sheetData sheetId="1"/>
      <sheetData sheetId="2">
        <row r="6">
          <cell r="B6" t="str">
            <v>Бахтиярова Ляля Нажиповна</v>
          </cell>
          <cell r="J6">
            <v>34536.538157255804</v>
          </cell>
        </row>
        <row r="16">
          <cell r="B16" t="str">
            <v>Бахтиярова Сария Анваровна</v>
          </cell>
          <cell r="D16">
            <v>1</v>
          </cell>
          <cell r="J16">
            <v>27629.230525804647</v>
          </cell>
        </row>
        <row r="17">
          <cell r="B17" t="str">
            <v>Шрейдер Татьяна Борисовна</v>
          </cell>
          <cell r="D17">
            <v>0.75</v>
          </cell>
          <cell r="J17">
            <v>20721.922894353487</v>
          </cell>
        </row>
      </sheetData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расчет ДО (ставок)"/>
      <sheetName val="зам"/>
      <sheetName val="рук"/>
      <sheetName val="наполн"/>
    </sheetNames>
    <sheetDataSet>
      <sheetData sheetId="0"/>
      <sheetData sheetId="1"/>
      <sheetData sheetId="2">
        <row r="6">
          <cell r="J6">
            <v>32951.129400000005</v>
          </cell>
        </row>
        <row r="16">
          <cell r="J16">
            <v>26360.903520000003</v>
          </cell>
        </row>
        <row r="17">
          <cell r="J17">
            <v>18358.486380000002</v>
          </cell>
        </row>
      </sheetData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ДО (ставок) (2)"/>
      <sheetName val="тарификация"/>
      <sheetName val="расчет ДО (ставок)"/>
      <sheetName val="зам "/>
      <sheetName val="штат"/>
      <sheetName val="рук"/>
    </sheetNames>
    <sheetDataSet>
      <sheetData sheetId="0"/>
      <sheetData sheetId="1"/>
      <sheetData sheetId="2"/>
      <sheetData sheetId="3">
        <row r="6">
          <cell r="B6" t="str">
            <v>Агапова Марина Владимировна</v>
          </cell>
          <cell r="J6">
            <v>30498.845608273823</v>
          </cell>
        </row>
        <row r="16">
          <cell r="B16" t="str">
            <v>Ильясова Татьяна Викторовна</v>
          </cell>
          <cell r="D16">
            <v>0.5</v>
          </cell>
          <cell r="J16">
            <v>9585.3514768860587</v>
          </cell>
        </row>
      </sheetData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ДО (ставок) (2)"/>
      <sheetName val="тарификация"/>
      <sheetName val="расчет ДО (ставок)"/>
      <sheetName val="зам (2)"/>
      <sheetName val="зам"/>
      <sheetName val="штат"/>
      <sheetName val="рук (2)"/>
      <sheetName val="рук"/>
    </sheetNames>
    <sheetDataSet>
      <sheetData sheetId="0"/>
      <sheetData sheetId="1"/>
      <sheetData sheetId="2"/>
      <sheetData sheetId="3"/>
      <sheetData sheetId="4">
        <row r="6">
          <cell r="J6">
            <v>26922.11088</v>
          </cell>
        </row>
        <row r="16">
          <cell r="J16">
            <v>21537.688704</v>
          </cell>
        </row>
      </sheetData>
      <sheetData sheetId="5"/>
      <sheetData sheetId="6"/>
      <sheetData sheetId="7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По Нарзяевой"/>
      <sheetName val="расчет ДО (ставок)"/>
      <sheetName val="штатное расписание"/>
      <sheetName val="зам"/>
      <sheetName val="расчет наполняемости"/>
      <sheetName val="рук"/>
    </sheetNames>
    <sheetDataSet>
      <sheetData sheetId="0"/>
      <sheetData sheetId="1"/>
      <sheetData sheetId="2"/>
      <sheetData sheetId="3"/>
      <sheetData sheetId="4">
        <row r="6">
          <cell r="B6" t="str">
            <v>Иванова Елена Петровна</v>
          </cell>
          <cell r="J6">
            <v>28230.789295956871</v>
          </cell>
        </row>
        <row r="16">
          <cell r="B16" t="str">
            <v>Болкунова Анна Владимировна</v>
          </cell>
          <cell r="D16">
            <v>0.5</v>
          </cell>
          <cell r="J16">
            <v>13174.368338113207</v>
          </cell>
        </row>
        <row r="17">
          <cell r="B17" t="str">
            <v>Пастухова Светлана Юрьевна</v>
          </cell>
          <cell r="D17">
            <v>0.5</v>
          </cell>
          <cell r="J17">
            <v>13174.368338113207</v>
          </cell>
        </row>
      </sheetData>
      <sheetData sheetId="5"/>
      <sheetData sheetId="6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расчет ДО (ставок) 01.01.2016г."/>
      <sheetName val="расчет ДО (ставок)"/>
      <sheetName val="штатное расписание"/>
      <sheetName val="зам"/>
      <sheetName val="дир"/>
    </sheetNames>
    <sheetDataSet>
      <sheetData sheetId="0"/>
      <sheetData sheetId="1"/>
      <sheetData sheetId="2"/>
      <sheetData sheetId="3"/>
      <sheetData sheetId="4">
        <row r="6">
          <cell r="J6">
            <v>27181.471993099731</v>
          </cell>
        </row>
        <row r="16">
          <cell r="J16">
            <v>12684.686930113208</v>
          </cell>
        </row>
        <row r="17">
          <cell r="J17">
            <v>12684.686930113208</v>
          </cell>
        </row>
      </sheetData>
      <sheetData sheetId="5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ДО (ставок)"/>
      <sheetName val="тарификация"/>
      <sheetName val="зам"/>
      <sheetName val="рук"/>
    </sheetNames>
    <sheetDataSet>
      <sheetData sheetId="0"/>
      <sheetData sheetId="1"/>
      <sheetData sheetId="2">
        <row r="6">
          <cell r="B6" t="str">
            <v>Адова Татьяна Николаевна</v>
          </cell>
          <cell r="J6">
            <v>30693.126969950114</v>
          </cell>
        </row>
        <row r="16">
          <cell r="B16" t="str">
            <v>Джумма Надежда Викторовна</v>
          </cell>
          <cell r="D16">
            <v>0.25</v>
          </cell>
          <cell r="J16">
            <v>6138.6253939900225</v>
          </cell>
        </row>
      </sheetData>
      <sheetData sheetId="3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расчет ДО (ставок)"/>
      <sheetName val="зам"/>
      <sheetName val="рук"/>
    </sheetNames>
    <sheetDataSet>
      <sheetData sheetId="0"/>
      <sheetData sheetId="1"/>
      <sheetData sheetId="2">
        <row r="6">
          <cell r="J6">
            <v>22153.168519999999</v>
          </cell>
        </row>
        <row r="16">
          <cell r="J16">
            <v>5316.7604447999993</v>
          </cell>
        </row>
        <row r="17">
          <cell r="B17" t="str">
            <v>Чебрукова Татьяна Алексеевна</v>
          </cell>
          <cell r="J17">
            <v>2784.9697568000001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расчет ДО"/>
      <sheetName val="штат"/>
      <sheetName val="зам"/>
      <sheetName val="рук"/>
    </sheetNames>
    <sheetDataSet>
      <sheetData sheetId="0"/>
      <sheetData sheetId="1"/>
      <sheetData sheetId="2"/>
      <sheetData sheetId="3">
        <row r="16">
          <cell r="J16">
            <v>12020.978320634546</v>
          </cell>
        </row>
      </sheetData>
      <sheetData sheetId="4">
        <row r="55">
          <cell r="J55">
            <v>30052.445801586357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расчет ДО (ставок)"/>
      <sheetName val="шт"/>
      <sheetName val="зам"/>
      <sheetName val="рук"/>
      <sheetName val="наполн"/>
    </sheetNames>
    <sheetDataSet>
      <sheetData sheetId="0"/>
      <sheetData sheetId="1"/>
      <sheetData sheetId="2"/>
      <sheetData sheetId="3">
        <row r="6">
          <cell r="B6" t="str">
            <v>Иванова Наталья Петровна</v>
          </cell>
          <cell r="J6">
            <v>38742.057134458715</v>
          </cell>
        </row>
        <row r="16">
          <cell r="B16" t="str">
            <v>Кернос Ирина Семеновна</v>
          </cell>
          <cell r="D16">
            <v>1</v>
          </cell>
          <cell r="J16">
            <v>30993.645707566975</v>
          </cell>
        </row>
        <row r="17">
          <cell r="B17" t="str">
            <v>Ворожбитова Анна Юрьевна</v>
          </cell>
          <cell r="D17">
            <v>1</v>
          </cell>
          <cell r="J17">
            <v>30993.645707566975</v>
          </cell>
        </row>
      </sheetData>
      <sheetData sheetId="4"/>
      <sheetData sheetId="5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расчет ДО (ставок)"/>
      <sheetName val="шт"/>
      <sheetName val="зам"/>
      <sheetName val="рук"/>
      <sheetName val="наполн"/>
    </sheetNames>
    <sheetDataSet>
      <sheetData sheetId="0"/>
      <sheetData sheetId="1"/>
      <sheetData sheetId="2"/>
      <sheetData sheetId="3">
        <row r="6">
          <cell r="J6">
            <v>35706.161400000005</v>
          </cell>
        </row>
        <row r="16">
          <cell r="J16">
            <v>28564.929120000004</v>
          </cell>
        </row>
        <row r="17">
          <cell r="J17">
            <v>28564.929120000004</v>
          </cell>
        </row>
      </sheetData>
      <sheetData sheetId="4"/>
      <sheetData sheetId="5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расчет ДО (ставок)"/>
      <sheetName val="штатное"/>
      <sheetName val="зам"/>
      <sheetName val="рук"/>
      <sheetName val="наполн"/>
    </sheetNames>
    <sheetDataSet>
      <sheetData sheetId="0"/>
      <sheetData sheetId="1"/>
      <sheetData sheetId="2"/>
      <sheetData sheetId="3">
        <row r="6">
          <cell r="B6" t="str">
            <v>Зиновьева Марина Николаевна</v>
          </cell>
          <cell r="J6">
            <v>33200.569837378644</v>
          </cell>
        </row>
        <row r="16">
          <cell r="B16" t="str">
            <v>Иванова Онега Алексанровна</v>
          </cell>
          <cell r="D16">
            <v>1</v>
          </cell>
          <cell r="J16">
            <v>28603.567859895451</v>
          </cell>
        </row>
        <row r="17">
          <cell r="B17" t="str">
            <v>Курбатова Анна Александровна</v>
          </cell>
          <cell r="D17">
            <v>0.5</v>
          </cell>
          <cell r="J17">
            <v>12258.671939955191</v>
          </cell>
        </row>
      </sheetData>
      <sheetData sheetId="4"/>
      <sheetData sheetId="5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расчет ДО (ставок)"/>
      <sheetName val="штатное"/>
      <sheetName val="зам"/>
      <sheetName val="рук"/>
      <sheetName val="наполн"/>
    </sheetNames>
    <sheetDataSet>
      <sheetData sheetId="0"/>
      <sheetData sheetId="1"/>
      <sheetData sheetId="2"/>
      <sheetData sheetId="3">
        <row r="6">
          <cell r="J6">
            <v>31488.856099999997</v>
          </cell>
        </row>
        <row r="16">
          <cell r="J16">
            <v>27128.860639999999</v>
          </cell>
        </row>
        <row r="17">
          <cell r="J17">
            <v>11626.654559999999</v>
          </cell>
        </row>
      </sheetData>
      <sheetData sheetId="4"/>
      <sheetData sheetId="5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_на 01.09.2016"/>
      <sheetName val="штатное проч. перс."/>
      <sheetName val="прочий персонал"/>
      <sheetName val="рук"/>
      <sheetName val="зам"/>
    </sheetNames>
    <sheetDataSet>
      <sheetData sheetId="0"/>
      <sheetData sheetId="1"/>
      <sheetData sheetId="2"/>
      <sheetData sheetId="3"/>
      <sheetData sheetId="4">
        <row r="6">
          <cell r="B6" t="str">
            <v>Агайдарова Галина Жеумбаевна</v>
          </cell>
          <cell r="J6">
            <v>36855.892810815101</v>
          </cell>
        </row>
        <row r="16">
          <cell r="B16" t="str">
            <v>Мосолова Наталья Павловна</v>
          </cell>
          <cell r="D16">
            <v>0.75</v>
          </cell>
          <cell r="J16">
            <v>22113.53568648906</v>
          </cell>
        </row>
        <row r="17">
          <cell r="B17" t="str">
            <v>Ильясова Раиса Салаватовна</v>
          </cell>
          <cell r="D17">
            <v>0.75</v>
          </cell>
          <cell r="J17">
            <v>22113.53568648906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01.01.2016г. категории"/>
      <sheetName val="тариф (2)"/>
      <sheetName val="тариф"/>
      <sheetName val="рук"/>
      <sheetName val="Лист2"/>
      <sheetName val="Коэф.2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J6">
            <v>34844.981600000006</v>
          </cell>
        </row>
        <row r="16">
          <cell r="J16">
            <v>20906.988960000002</v>
          </cell>
        </row>
        <row r="17">
          <cell r="J17">
            <v>20906.988960000002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  <sheetName val="зам"/>
      <sheetName val="дир"/>
    </sheetNames>
    <sheetDataSet>
      <sheetData sheetId="0"/>
      <sheetData sheetId="1">
        <row r="6">
          <cell r="B6" t="str">
            <v>Кучаев Ильгиз Забирович</v>
          </cell>
          <cell r="J6">
            <v>40634.784686989078</v>
          </cell>
        </row>
        <row r="16">
          <cell r="B16" t="str">
            <v>Туюшева Луиза Зарифовна</v>
          </cell>
          <cell r="J16">
            <v>32507.827749591266</v>
          </cell>
        </row>
        <row r="17">
          <cell r="B17" t="str">
            <v>Березина Татьяна Владимировна</v>
          </cell>
          <cell r="J17">
            <v>32507.827749591266</v>
          </cell>
        </row>
      </sheetData>
      <sheetData sheetId="2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01.01.16г."/>
      <sheetName val="тариф (2)"/>
      <sheetName val="тариф"/>
      <sheetName val="зам"/>
      <sheetName val="дир"/>
      <sheetName val="Лист2"/>
    </sheetNames>
    <sheetDataSet>
      <sheetData sheetId="0"/>
      <sheetData sheetId="1"/>
      <sheetData sheetId="2"/>
      <sheetData sheetId="3">
        <row r="6">
          <cell r="J6">
            <v>34522.557552344275</v>
          </cell>
        </row>
        <row r="16">
          <cell r="J16">
            <v>27618.046041875426</v>
          </cell>
        </row>
        <row r="17">
          <cell r="J17">
            <v>27618.046041875426</v>
          </cell>
        </row>
      </sheetData>
      <sheetData sheetId="4"/>
      <sheetData sheetId="5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рук"/>
      <sheetName val="шт"/>
    </sheetNames>
    <sheetDataSet>
      <sheetData sheetId="0"/>
      <sheetData sheetId="1">
        <row r="77">
          <cell r="J77">
            <v>24399.710999999999</v>
          </cell>
        </row>
      </sheetData>
      <sheetData sheetId="2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рук"/>
      <sheetName val="шт"/>
    </sheetNames>
    <sheetDataSet>
      <sheetData sheetId="0"/>
      <sheetData sheetId="1">
        <row r="77">
          <cell r="J77">
            <v>25876.024905501868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расчет ДО (ставок)"/>
      <sheetName val="зам (2)"/>
      <sheetName val="зам"/>
      <sheetName val="рук"/>
    </sheetNames>
    <sheetDataSet>
      <sheetData sheetId="0"/>
      <sheetData sheetId="1"/>
      <sheetData sheetId="2">
        <row r="6">
          <cell r="J6">
            <v>18353.130599999997</v>
          </cell>
        </row>
        <row r="16">
          <cell r="J16">
            <v>5243.7515999999996</v>
          </cell>
        </row>
      </sheetData>
      <sheetData sheetId="3"/>
      <sheetData sheetId="4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штатное"/>
      <sheetName val="рук"/>
    </sheetNames>
    <sheetDataSet>
      <sheetData sheetId="0"/>
      <sheetData sheetId="1"/>
      <sheetData sheetId="2">
        <row r="71">
          <cell r="J71">
            <v>20912.8374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штатное"/>
      <sheetName val="рук"/>
    </sheetNames>
    <sheetDataSet>
      <sheetData sheetId="0"/>
      <sheetData sheetId="1"/>
      <sheetData sheetId="2">
        <row r="71">
          <cell r="J71">
            <v>26411.773271784808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 верно (2) с 01.11"/>
      <sheetName val="тарификация верно"/>
      <sheetName val="шт (2)"/>
      <sheetName val="шт"/>
      <sheetName val="рук"/>
    </sheetNames>
    <sheetDataSet>
      <sheetData sheetId="0"/>
      <sheetData sheetId="1"/>
      <sheetData sheetId="2"/>
      <sheetData sheetId="3"/>
      <sheetData sheetId="4">
        <row r="54">
          <cell r="J54">
            <v>18309.635520105639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 "/>
      <sheetName val="рук"/>
      <sheetName val="штат"/>
    </sheetNames>
    <sheetDataSet>
      <sheetData sheetId="0"/>
      <sheetData sheetId="1">
        <row r="77">
          <cell r="J77">
            <v>24156.158491156806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</sheetData>
      <sheetData sheetId="2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штат"/>
      <sheetName val="рук"/>
    </sheetNames>
    <sheetDataSet>
      <sheetData sheetId="0"/>
      <sheetData sheetId="1"/>
      <sheetData sheetId="2">
        <row r="96">
          <cell r="J96">
            <v>21681.987299999997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штат"/>
      <sheetName val="рук"/>
    </sheetNames>
    <sheetDataSet>
      <sheetData sheetId="0"/>
      <sheetData sheetId="1"/>
      <sheetData sheetId="2">
        <row r="81">
          <cell r="J81">
            <v>26535.094131868667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штат"/>
      <sheetName val="рук"/>
    </sheetNames>
    <sheetDataSet>
      <sheetData sheetId="0"/>
      <sheetData sheetId="1"/>
      <sheetData sheetId="2">
        <row r="85">
          <cell r="J85">
            <v>19986.1969509927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штат"/>
      <sheetName val="рук"/>
    </sheetNames>
    <sheetDataSet>
      <sheetData sheetId="0"/>
      <sheetData sheetId="1"/>
      <sheetData sheetId="2">
        <row r="77">
          <cell r="J77">
            <v>21905.919899999997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штат"/>
      <sheetName val="рук"/>
    </sheetNames>
    <sheetDataSet>
      <sheetData sheetId="0"/>
      <sheetData sheetId="1"/>
      <sheetData sheetId="2">
        <row r="77">
          <cell r="J77">
            <v>23725.118469289919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штатное"/>
      <sheetName val="рук"/>
    </sheetNames>
    <sheetDataSet>
      <sheetData sheetId="0"/>
      <sheetData sheetId="1"/>
      <sheetData sheetId="2">
        <row r="77">
          <cell r="J77">
            <v>21366.291599999997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расчет ДО (ставок)"/>
      <sheetName val="зам "/>
      <sheetName val="рук"/>
    </sheetNames>
    <sheetDataSet>
      <sheetData sheetId="0"/>
      <sheetData sheetId="1"/>
      <sheetData sheetId="2">
        <row r="6">
          <cell r="J6">
            <v>24695.065942399997</v>
          </cell>
        </row>
        <row r="16">
          <cell r="J16">
            <v>8466.8797516800005</v>
          </cell>
        </row>
      </sheetData>
      <sheetData sheetId="3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штатное"/>
      <sheetName val="рук"/>
    </sheetNames>
    <sheetDataSet>
      <sheetData sheetId="0"/>
      <sheetData sheetId="1"/>
      <sheetData sheetId="2">
        <row r="77">
          <cell r="J77">
            <v>26173.913918471335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 (2)"/>
      <sheetName val="тарификация"/>
      <sheetName val="штат"/>
      <sheetName val="рук"/>
    </sheetNames>
    <sheetDataSet>
      <sheetData sheetId="0"/>
      <sheetData sheetId="1"/>
      <sheetData sheetId="2"/>
      <sheetData sheetId="3">
        <row r="59">
          <cell r="J59">
            <v>20420.79564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штат"/>
      <sheetName val="рук"/>
      <sheetName val="тарификация "/>
    </sheetNames>
    <sheetDataSet>
      <sheetData sheetId="0"/>
      <sheetData sheetId="1">
        <row r="59">
          <cell r="J59">
            <v>27374.426522683698</v>
          </cell>
        </row>
      </sheetData>
      <sheetData sheetId="2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штатное"/>
      <sheetName val="рук"/>
    </sheetNames>
    <sheetDataSet>
      <sheetData sheetId="0"/>
      <sheetData sheetId="1"/>
      <sheetData sheetId="2">
        <row r="60">
          <cell r="J60">
            <v>15204.917279999998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штатное"/>
      <sheetName val="рук"/>
    </sheetNames>
    <sheetDataSet>
      <sheetData sheetId="0"/>
      <sheetData sheetId="1"/>
      <sheetData sheetId="2">
        <row r="60">
          <cell r="J60">
            <v>20187.140885068209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штат"/>
      <sheetName val="рук"/>
    </sheetNames>
    <sheetDataSet>
      <sheetData sheetId="0"/>
      <sheetData sheetId="1"/>
      <sheetData sheetId="2">
        <row r="77">
          <cell r="J77">
            <v>15260.785200000002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штат"/>
      <sheetName val="рук"/>
    </sheetNames>
    <sheetDataSet>
      <sheetData sheetId="0"/>
      <sheetData sheetId="1"/>
      <sheetData sheetId="2">
        <row r="78">
          <cell r="J78">
            <v>18362.329919864071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шт"/>
      <sheetName val="рук"/>
    </sheetNames>
    <sheetDataSet>
      <sheetData sheetId="0"/>
      <sheetData sheetId="1"/>
      <sheetData sheetId="2">
        <row r="61">
          <cell r="J61">
            <v>21387.095100000002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шт"/>
      <sheetName val="рук"/>
    </sheetNames>
    <sheetDataSet>
      <sheetData sheetId="0"/>
      <sheetData sheetId="1"/>
      <sheetData sheetId="2">
        <row r="61">
          <cell r="J61">
            <v>20443.675251754863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 (2)"/>
      <sheetName val="тарификация"/>
      <sheetName val="штат"/>
      <sheetName val="рук"/>
    </sheetNames>
    <sheetDataSet>
      <sheetData sheetId="0"/>
      <sheetData sheetId="1"/>
      <sheetData sheetId="2"/>
      <sheetData sheetId="3">
        <row r="62">
          <cell r="J62">
            <v>22382.454270557031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расчет ДО (ставок)"/>
      <sheetName val="штат"/>
      <sheetName val="замы"/>
      <sheetName val="рук"/>
    </sheetNames>
    <sheetDataSet>
      <sheetData sheetId="0"/>
      <sheetData sheetId="1"/>
      <sheetData sheetId="2"/>
      <sheetData sheetId="3">
        <row r="6">
          <cell r="J6">
            <v>21224.551800000001</v>
          </cell>
        </row>
        <row r="16">
          <cell r="J16">
            <v>5518.3834680000009</v>
          </cell>
        </row>
      </sheetData>
      <sheetData sheetId="4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штат"/>
      <sheetName val="рук"/>
    </sheetNames>
    <sheetDataSet>
      <sheetData sheetId="0"/>
      <sheetData sheetId="1"/>
      <sheetData sheetId="2">
        <row r="62">
          <cell r="J62">
            <v>24404.781127320959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расчет ДО (ставок)"/>
      <sheetName val="штат"/>
      <sheetName val="замы"/>
      <sheetName val="рук"/>
    </sheetNames>
    <sheetDataSet>
      <sheetData sheetId="0"/>
      <sheetData sheetId="1"/>
      <sheetData sheetId="2"/>
      <sheetData sheetId="3">
        <row r="6">
          <cell r="J6">
            <v>23914.332338849552</v>
          </cell>
        </row>
        <row r="16">
          <cell r="J16">
            <v>6217.7264081008834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расчет ДО (ставок)"/>
      <sheetName val="шт"/>
      <sheetName val="зам"/>
      <sheetName val="рук"/>
    </sheetNames>
    <sheetDataSet>
      <sheetData sheetId="0"/>
      <sheetData sheetId="1"/>
      <sheetData sheetId="2"/>
      <sheetData sheetId="3">
        <row r="6">
          <cell r="J6">
            <v>22349.965260000001</v>
          </cell>
        </row>
        <row r="16">
          <cell r="J16">
            <v>8939.9861040000014</v>
          </cell>
        </row>
      </sheetData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расчет ДО (ставок)"/>
      <sheetName val="шт"/>
      <sheetName val="зам"/>
      <sheetName val="рук"/>
    </sheetNames>
    <sheetDataSet>
      <sheetData sheetId="0"/>
      <sheetData sheetId="1"/>
      <sheetData sheetId="2"/>
      <sheetData sheetId="3">
        <row r="6">
          <cell r="J6">
            <v>21001.589193401185</v>
          </cell>
        </row>
        <row r="16">
          <cell r="B16" t="str">
            <v>Рубашевская Наталья Александровна</v>
          </cell>
          <cell r="J16">
            <v>4200.3178386802374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56ouo25@obraz-orenburg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56ouo25@obraz-orenburg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56ouo25@obraz-orenburg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J118"/>
  <sheetViews>
    <sheetView tabSelected="1" topLeftCell="A70" zoomScale="80" zoomScaleNormal="80" workbookViewId="0">
      <selection activeCell="M76" sqref="M76"/>
    </sheetView>
  </sheetViews>
  <sheetFormatPr defaultRowHeight="14.4"/>
  <cols>
    <col min="1" max="1" width="4.6640625" customWidth="1"/>
    <col min="2" max="2" width="37.88671875" customWidth="1"/>
    <col min="3" max="3" width="19.33203125" customWidth="1"/>
    <col min="4" max="4" width="8.77734375" customWidth="1"/>
    <col min="5" max="5" width="31" customWidth="1"/>
    <col min="6" max="6" width="15.33203125" hidden="1" customWidth="1"/>
    <col min="7" max="7" width="12.77734375" hidden="1" customWidth="1"/>
    <col min="8" max="9" width="14.21875" hidden="1" customWidth="1"/>
    <col min="10" max="10" width="15.21875" customWidth="1"/>
  </cols>
  <sheetData>
    <row r="6" spans="2:10" ht="15" customHeight="1">
      <c r="B6" s="23" t="s">
        <v>91</v>
      </c>
      <c r="E6" s="36" t="s">
        <v>98</v>
      </c>
      <c r="F6" s="36"/>
      <c r="G6" s="36"/>
      <c r="H6" s="36"/>
      <c r="I6" s="36"/>
      <c r="J6" s="36"/>
    </row>
    <row r="7" spans="2:10" ht="15.6">
      <c r="B7" s="23" t="s">
        <v>92</v>
      </c>
      <c r="E7" s="36" t="s">
        <v>99</v>
      </c>
      <c r="F7" s="36"/>
      <c r="G7" s="36"/>
      <c r="H7" s="36"/>
      <c r="I7" s="36"/>
      <c r="J7" s="36"/>
    </row>
    <row r="8" spans="2:10" ht="15.6">
      <c r="B8" s="24" t="s">
        <v>93</v>
      </c>
      <c r="E8" s="36" t="s">
        <v>100</v>
      </c>
      <c r="F8" s="36"/>
      <c r="G8" s="36"/>
      <c r="H8" s="36"/>
      <c r="I8" s="36"/>
      <c r="J8" s="36"/>
    </row>
    <row r="9" spans="2:10" ht="15.6">
      <c r="B9" s="24" t="s">
        <v>94</v>
      </c>
    </row>
    <row r="10" spans="2:10" ht="15.6">
      <c r="B10" s="24" t="s">
        <v>95</v>
      </c>
    </row>
    <row r="11" spans="2:10" ht="15.6">
      <c r="B11" s="25" t="s">
        <v>96</v>
      </c>
    </row>
    <row r="12" spans="2:10">
      <c r="B12" s="26" t="s">
        <v>97</v>
      </c>
    </row>
    <row r="20" spans="1:10">
      <c r="A20" s="1"/>
      <c r="B20" s="3" t="s">
        <v>2</v>
      </c>
      <c r="C20" s="3"/>
      <c r="D20" s="3"/>
      <c r="E20" s="3"/>
      <c r="F20" s="3"/>
      <c r="G20" s="3"/>
      <c r="H20" s="3"/>
    </row>
    <row r="21" spans="1:10" ht="95.4" customHeight="1">
      <c r="A21" s="4"/>
      <c r="B21" s="5" t="s">
        <v>0</v>
      </c>
      <c r="C21" s="7" t="s">
        <v>3</v>
      </c>
      <c r="D21" s="7" t="s">
        <v>6</v>
      </c>
      <c r="E21" s="13" t="s">
        <v>4</v>
      </c>
      <c r="F21" s="9" t="s">
        <v>60</v>
      </c>
      <c r="G21" s="9" t="s">
        <v>43</v>
      </c>
      <c r="H21" s="9" t="s">
        <v>58</v>
      </c>
      <c r="I21" s="19" t="s">
        <v>42</v>
      </c>
      <c r="J21" s="19" t="s">
        <v>84</v>
      </c>
    </row>
    <row r="22" spans="1:10" ht="27">
      <c r="A22" s="4">
        <v>1</v>
      </c>
      <c r="B22" s="35" t="s">
        <v>118</v>
      </c>
      <c r="C22" s="14" t="s">
        <v>5</v>
      </c>
      <c r="D22" s="14">
        <v>1</v>
      </c>
      <c r="E22" s="8" t="s">
        <v>7</v>
      </c>
      <c r="F22" s="8">
        <f>14410.74+492.84</f>
        <v>14903.58</v>
      </c>
      <c r="G22" s="8">
        <f>F22*8</f>
        <v>119228.64</v>
      </c>
      <c r="H22" s="8">
        <f>'[1]рук 1,4 с 01.12.2016г.'!$J$39+623.76</f>
        <v>19446.4797558834</v>
      </c>
      <c r="I22" s="8">
        <f>H22*4</f>
        <v>77785.919023533599</v>
      </c>
      <c r="J22" s="14">
        <f>(G22+I22)/12</f>
        <v>16417.879918627801</v>
      </c>
    </row>
    <row r="23" spans="1:10" ht="27">
      <c r="A23" s="4">
        <v>2</v>
      </c>
      <c r="B23" s="35" t="s">
        <v>119</v>
      </c>
      <c r="C23" s="14" t="s">
        <v>5</v>
      </c>
      <c r="D23" s="14">
        <v>1</v>
      </c>
      <c r="E23" s="8" t="s">
        <v>8</v>
      </c>
      <c r="F23" s="8">
        <f>[2]зам!$J$6+1540.06</f>
        <v>24890.123172413794</v>
      </c>
      <c r="G23" s="8">
        <f t="shared" ref="G23:G67" si="0">F23*8</f>
        <v>199120.98537931035</v>
      </c>
      <c r="H23" s="8">
        <f>[3]рук!$J$55+1254.91</f>
        <v>31307.355801586356</v>
      </c>
      <c r="I23" s="8">
        <f t="shared" ref="I23:I67" si="1">H23*4</f>
        <v>125229.42320634543</v>
      </c>
      <c r="J23" s="14">
        <f t="shared" ref="J23:J66" si="2">(G23+I23)/12</f>
        <v>27029.200715471317</v>
      </c>
    </row>
    <row r="24" spans="1:10">
      <c r="A24" s="4"/>
      <c r="B24" s="35"/>
      <c r="C24" s="14" t="s">
        <v>9</v>
      </c>
      <c r="D24" s="14">
        <v>0.5</v>
      </c>
      <c r="E24" s="8" t="s">
        <v>10</v>
      </c>
      <c r="F24" s="8">
        <f>[2]зам!$J$16</f>
        <v>9340.025268965519</v>
      </c>
      <c r="G24" s="8">
        <f t="shared" si="0"/>
        <v>74720.202151724152</v>
      </c>
      <c r="H24" s="8">
        <f>[3]зам!$J$16</f>
        <v>12020.978320634546</v>
      </c>
      <c r="I24" s="8">
        <f t="shared" si="1"/>
        <v>48083.913282538182</v>
      </c>
      <c r="J24" s="14">
        <f t="shared" si="2"/>
        <v>10233.676286188527</v>
      </c>
    </row>
    <row r="25" spans="1:10" ht="27">
      <c r="A25" s="4">
        <v>3</v>
      </c>
      <c r="B25" s="35" t="s">
        <v>120</v>
      </c>
      <c r="C25" s="14" t="s">
        <v>5</v>
      </c>
      <c r="D25" s="14">
        <v>1</v>
      </c>
      <c r="E25" s="8" t="s">
        <v>11</v>
      </c>
      <c r="F25" s="8">
        <f>'[4]зам (2)'!$J$6+1640.62</f>
        <v>19993.750599999996</v>
      </c>
      <c r="G25" s="8">
        <f t="shared" si="0"/>
        <v>159950.00479999997</v>
      </c>
      <c r="H25" s="8">
        <f>'[5]зам '!$J$6+1447.52</f>
        <v>26142.585942399997</v>
      </c>
      <c r="I25" s="8">
        <f t="shared" si="1"/>
        <v>104570.34376959999</v>
      </c>
      <c r="J25" s="14">
        <f t="shared" si="2"/>
        <v>22043.362380799997</v>
      </c>
    </row>
    <row r="26" spans="1:10">
      <c r="A26" s="4"/>
      <c r="B26" s="35"/>
      <c r="C26" s="14" t="s">
        <v>9</v>
      </c>
      <c r="D26" s="14">
        <v>0.5</v>
      </c>
      <c r="E26" s="15" t="s">
        <v>12</v>
      </c>
      <c r="F26" s="8">
        <f>'[4]зам (2)'!$J$16</f>
        <v>5243.7515999999996</v>
      </c>
      <c r="G26" s="8">
        <f t="shared" si="0"/>
        <v>41950.012799999997</v>
      </c>
      <c r="H26" s="8">
        <f>'[5]зам '!$J$16</f>
        <v>8466.8797516800005</v>
      </c>
      <c r="I26" s="8">
        <f t="shared" si="1"/>
        <v>33867.519006720002</v>
      </c>
      <c r="J26" s="14">
        <f t="shared" si="2"/>
        <v>6318.1276505599999</v>
      </c>
    </row>
    <row r="27" spans="1:10" ht="27">
      <c r="A27" s="4">
        <v>4</v>
      </c>
      <c r="B27" s="35" t="s">
        <v>121</v>
      </c>
      <c r="C27" s="14" t="s">
        <v>5</v>
      </c>
      <c r="D27" s="14">
        <v>1</v>
      </c>
      <c r="E27" s="8"/>
      <c r="F27" s="8"/>
      <c r="G27" s="8"/>
      <c r="H27" s="8"/>
      <c r="I27" s="8">
        <f t="shared" si="1"/>
        <v>0</v>
      </c>
      <c r="J27" s="14">
        <f>(G27+I27)/8</f>
        <v>0</v>
      </c>
    </row>
    <row r="28" spans="1:10" ht="27">
      <c r="A28" s="4">
        <v>5</v>
      </c>
      <c r="B28" s="35" t="s">
        <v>122</v>
      </c>
      <c r="C28" s="14" t="s">
        <v>5</v>
      </c>
      <c r="D28" s="14">
        <v>1</v>
      </c>
      <c r="E28" s="8" t="s">
        <v>13</v>
      </c>
      <c r="F28" s="8">
        <f>[6]замы!$J$6+1320.71</f>
        <v>22545.2618</v>
      </c>
      <c r="G28" s="8">
        <f t="shared" si="0"/>
        <v>180362.0944</v>
      </c>
      <c r="H28" s="8">
        <f>[7]замы!$J$6+760.02</f>
        <v>24674.352338849552</v>
      </c>
      <c r="I28" s="8">
        <f t="shared" si="1"/>
        <v>98697.409355398209</v>
      </c>
      <c r="J28" s="14">
        <f t="shared" si="2"/>
        <v>23254.958646283183</v>
      </c>
    </row>
    <row r="29" spans="1:10">
      <c r="A29" s="4"/>
      <c r="B29" s="35"/>
      <c r="C29" s="14" t="s">
        <v>9</v>
      </c>
      <c r="D29" s="14">
        <v>0.3</v>
      </c>
      <c r="E29" s="8" t="s">
        <v>14</v>
      </c>
      <c r="F29" s="8">
        <f>[6]замы!$J$16+880.47</f>
        <v>6398.8534680000012</v>
      </c>
      <c r="G29" s="8">
        <f t="shared" si="0"/>
        <v>51190.827744000009</v>
      </c>
      <c r="H29" s="8">
        <f>[7]замы!$J$16+506.68</f>
        <v>6724.4064081008837</v>
      </c>
      <c r="I29" s="8">
        <f t="shared" si="1"/>
        <v>26897.625632403535</v>
      </c>
      <c r="J29" s="14">
        <f t="shared" si="2"/>
        <v>6507.371114700295</v>
      </c>
    </row>
    <row r="30" spans="1:10" ht="27">
      <c r="A30" s="4">
        <v>6</v>
      </c>
      <c r="B30" s="35" t="s">
        <v>123</v>
      </c>
      <c r="C30" s="14" t="s">
        <v>5</v>
      </c>
      <c r="D30" s="14">
        <v>1</v>
      </c>
      <c r="E30" s="8" t="s">
        <v>15</v>
      </c>
      <c r="F30" s="8">
        <f>[8]зам!$J$6+1669.18</f>
        <v>24019.145260000001</v>
      </c>
      <c r="G30" s="8">
        <f t="shared" si="0"/>
        <v>192153.16208000001</v>
      </c>
      <c r="H30" s="8">
        <f>[9]зам!$J$6+1111.86</f>
        <v>22113.449193401186</v>
      </c>
      <c r="I30" s="8">
        <f t="shared" si="1"/>
        <v>88453.796773604743</v>
      </c>
      <c r="J30" s="14">
        <f t="shared" si="2"/>
        <v>23383.913237800396</v>
      </c>
    </row>
    <row r="31" spans="1:10">
      <c r="A31" s="4"/>
      <c r="B31" s="35"/>
      <c r="C31" s="14" t="s">
        <v>9</v>
      </c>
      <c r="D31" s="14">
        <v>0.25</v>
      </c>
      <c r="E31" s="8" t="str">
        <f>[9]зам!$B$16</f>
        <v>Рубашевская Наталья Александровна</v>
      </c>
      <c r="F31" s="8">
        <f>[8]зам!$J$16+1112.79</f>
        <v>10052.776104</v>
      </c>
      <c r="G31" s="8">
        <f t="shared" si="0"/>
        <v>80422.208832000004</v>
      </c>
      <c r="H31" s="8">
        <f>[9]зам!$J$16+741.24</f>
        <v>4941.5578386802372</v>
      </c>
      <c r="I31" s="8">
        <f t="shared" si="1"/>
        <v>19766.231354720949</v>
      </c>
      <c r="J31" s="14">
        <f t="shared" si="2"/>
        <v>8349.0366822267461</v>
      </c>
    </row>
    <row r="32" spans="1:10" ht="27">
      <c r="A32" s="4">
        <v>7</v>
      </c>
      <c r="B32" s="35" t="s">
        <v>124</v>
      </c>
      <c r="C32" s="14" t="s">
        <v>5</v>
      </c>
      <c r="D32" s="14">
        <v>1</v>
      </c>
      <c r="E32" s="8" t="str">
        <f>[10]зам!$B$6</f>
        <v>Муштакова Галина Владимировна</v>
      </c>
      <c r="F32" s="8">
        <f>[11]зам!$J$6+3105.78</f>
        <v>33085.654399999999</v>
      </c>
      <c r="G32" s="8">
        <f t="shared" si="0"/>
        <v>264685.2352</v>
      </c>
      <c r="H32" s="8">
        <f>[10]зам!$J$6+2895.93</f>
        <v>36375.776782035828</v>
      </c>
      <c r="I32" s="8">
        <f t="shared" si="1"/>
        <v>145503.10712814331</v>
      </c>
      <c r="J32" s="14">
        <f t="shared" si="2"/>
        <v>34182.361860678611</v>
      </c>
    </row>
    <row r="33" spans="1:10">
      <c r="A33" s="4"/>
      <c r="B33" s="35"/>
      <c r="C33" s="14" t="s">
        <v>9</v>
      </c>
      <c r="D33" s="14">
        <f>[10]зам!$D$16</f>
        <v>0.5</v>
      </c>
      <c r="E33" s="8" t="str">
        <f>[10]зам!$B$16</f>
        <v>Хаустова Наталья Николаевна</v>
      </c>
      <c r="F33" s="8">
        <f>[11]зам!$J$16</f>
        <v>11991.949760000001</v>
      </c>
      <c r="G33" s="8">
        <f t="shared" si="0"/>
        <v>95935.598080000011</v>
      </c>
      <c r="H33" s="8">
        <f>[10]зам!$J$16</f>
        <v>13391.93871281433</v>
      </c>
      <c r="I33" s="8">
        <f t="shared" si="1"/>
        <v>53567.754851257319</v>
      </c>
      <c r="J33" s="14">
        <f t="shared" si="2"/>
        <v>12458.612744271444</v>
      </c>
    </row>
    <row r="34" spans="1:10">
      <c r="A34" s="4"/>
      <c r="B34" s="35"/>
      <c r="C34" s="14" t="s">
        <v>9</v>
      </c>
      <c r="D34" s="14">
        <f>[10]зам!$D$17</f>
        <v>1</v>
      </c>
      <c r="E34" s="8" t="str">
        <f>[10]зам!$B$17</f>
        <v>Бобылева Любовь Александровна</v>
      </c>
      <c r="F34" s="8">
        <f>[11]зам!$J$17+3105.78</f>
        <v>27089.679520000002</v>
      </c>
      <c r="G34" s="8">
        <f t="shared" si="0"/>
        <v>216717.43616000001</v>
      </c>
      <c r="H34" s="8">
        <f>[10]зам!$J$17+4006.91</f>
        <v>30790.78742562866</v>
      </c>
      <c r="I34" s="8">
        <f t="shared" si="1"/>
        <v>123163.14970251464</v>
      </c>
      <c r="J34" s="14">
        <f t="shared" si="2"/>
        <v>28323.382155209558</v>
      </c>
    </row>
    <row r="35" spans="1:10" ht="27">
      <c r="A35" s="4">
        <v>8</v>
      </c>
      <c r="B35" s="35" t="s">
        <v>125</v>
      </c>
      <c r="C35" s="14" t="s">
        <v>5</v>
      </c>
      <c r="D35" s="14">
        <v>1</v>
      </c>
      <c r="E35" s="8" t="s">
        <v>16</v>
      </c>
      <c r="F35" s="8">
        <f>[12]зам!$J$6+2118.14</f>
        <v>34018.164800000006</v>
      </c>
      <c r="G35" s="8">
        <f t="shared" si="0"/>
        <v>272145.31840000005</v>
      </c>
      <c r="H35" s="8">
        <f>[13]зам!$J$6+1492.16</f>
        <v>29234.088091826441</v>
      </c>
      <c r="I35" s="8">
        <f t="shared" si="1"/>
        <v>116936.35236730576</v>
      </c>
      <c r="J35" s="14">
        <f t="shared" si="2"/>
        <v>32423.472563942152</v>
      </c>
    </row>
    <row r="36" spans="1:10">
      <c r="A36" s="4"/>
      <c r="B36" s="35"/>
      <c r="C36" s="14" t="s">
        <v>9</v>
      </c>
      <c r="D36" s="14">
        <v>1</v>
      </c>
      <c r="E36" s="8" t="str">
        <f>[13]зам!$B$16</f>
        <v>Пешкова Вера Ивановна</v>
      </c>
      <c r="F36" s="8">
        <f>[12]зам!$J$16+1647.45</f>
        <v>27167.469840000005</v>
      </c>
      <c r="G36" s="8">
        <f t="shared" si="0"/>
        <v>217339.75872000004</v>
      </c>
      <c r="H36" s="8">
        <f>[13]зам!$J$16+3481.71</f>
        <v>25675.252473461154</v>
      </c>
      <c r="I36" s="8">
        <f t="shared" si="1"/>
        <v>102701.00989384462</v>
      </c>
      <c r="J36" s="14">
        <f t="shared" si="2"/>
        <v>26670.06405115372</v>
      </c>
    </row>
    <row r="37" spans="1:10">
      <c r="A37" s="4"/>
      <c r="B37" s="35"/>
      <c r="C37" s="14" t="s">
        <v>9</v>
      </c>
      <c r="D37" s="14">
        <v>0.25</v>
      </c>
      <c r="E37" s="8" t="s">
        <v>17</v>
      </c>
      <c r="F37" s="8">
        <f>[12]зам!$J$17+1647.45</f>
        <v>23764.800528</v>
      </c>
      <c r="G37" s="8">
        <f t="shared" si="0"/>
        <v>190118.404224</v>
      </c>
      <c r="H37" s="8">
        <f>[13]зам!$J$17</f>
        <v>4808.6008692499172</v>
      </c>
      <c r="I37" s="8">
        <f t="shared" si="1"/>
        <v>19234.403476999669</v>
      </c>
      <c r="J37" s="14">
        <f t="shared" si="2"/>
        <v>17446.067308416637</v>
      </c>
    </row>
    <row r="38" spans="1:10">
      <c r="A38" s="4"/>
      <c r="B38" s="35"/>
      <c r="C38" s="14" t="s">
        <v>9</v>
      </c>
      <c r="D38" s="14">
        <v>0.2</v>
      </c>
      <c r="E38" s="8" t="s">
        <v>18</v>
      </c>
      <c r="F38" s="8"/>
      <c r="G38" s="8">
        <f t="shared" si="0"/>
        <v>0</v>
      </c>
      <c r="H38" s="8">
        <f>[13]зам!$J$18</f>
        <v>3846.8806953999342</v>
      </c>
      <c r="I38" s="8">
        <f t="shared" si="1"/>
        <v>15387.522781599737</v>
      </c>
      <c r="J38" s="14">
        <f>(G38+I38)/4</f>
        <v>3846.8806953999342</v>
      </c>
    </row>
    <row r="39" spans="1:10" ht="27">
      <c r="A39" s="4">
        <v>9</v>
      </c>
      <c r="B39" s="35" t="s">
        <v>126</v>
      </c>
      <c r="C39" s="14" t="s">
        <v>5</v>
      </c>
      <c r="D39" s="14">
        <v>1</v>
      </c>
      <c r="E39" s="8" t="s">
        <v>19</v>
      </c>
      <c r="F39" s="8">
        <f>[14]зам!$J$6+2237.33</f>
        <v>30929.748341523344</v>
      </c>
      <c r="G39" s="8">
        <f t="shared" si="0"/>
        <v>247437.98673218675</v>
      </c>
      <c r="H39" s="8">
        <f>[15]зам!$J$6+3310.73</f>
        <v>34838.681058443603</v>
      </c>
      <c r="I39" s="8">
        <f t="shared" si="1"/>
        <v>139354.72423377441</v>
      </c>
      <c r="J39" s="14">
        <f t="shared" si="2"/>
        <v>32232.725913830098</v>
      </c>
    </row>
    <row r="40" spans="1:10">
      <c r="A40" s="4"/>
      <c r="B40" s="35"/>
      <c r="C40" s="14" t="s">
        <v>9</v>
      </c>
      <c r="D40" s="14">
        <v>0.5</v>
      </c>
      <c r="E40" s="8" t="s">
        <v>20</v>
      </c>
      <c r="F40" s="8">
        <f>[14]зам!$J$16+1118.66</f>
        <v>9593.9589562653582</v>
      </c>
      <c r="G40" s="8">
        <f t="shared" si="0"/>
        <v>76751.671650122866</v>
      </c>
      <c r="H40" s="8">
        <f>[15]зам!$J$16+1655.37</f>
        <v>15317.482125325561</v>
      </c>
      <c r="I40" s="8">
        <f t="shared" si="1"/>
        <v>61269.928501302245</v>
      </c>
      <c r="J40" s="14">
        <f t="shared" si="2"/>
        <v>11501.80001261876</v>
      </c>
    </row>
    <row r="41" spans="1:10">
      <c r="A41" s="4"/>
      <c r="B41" s="35"/>
      <c r="C41" s="14" t="s">
        <v>9</v>
      </c>
      <c r="D41" s="14">
        <v>0.25</v>
      </c>
      <c r="E41" s="8" t="s">
        <v>21</v>
      </c>
      <c r="F41" s="8">
        <f>[14]зам!$J$16+1118.66</f>
        <v>9593.9589562653582</v>
      </c>
      <c r="G41" s="8">
        <f t="shared" si="0"/>
        <v>76751.671650122866</v>
      </c>
      <c r="H41" s="8">
        <f>[15]зам!$J$17+1655.37</f>
        <v>8486.4260626627802</v>
      </c>
      <c r="I41" s="8">
        <f t="shared" si="1"/>
        <v>33945.704250651121</v>
      </c>
      <c r="J41" s="14">
        <f t="shared" si="2"/>
        <v>9224.7813250644995</v>
      </c>
    </row>
    <row r="42" spans="1:10" ht="27">
      <c r="A42" s="4">
        <v>10</v>
      </c>
      <c r="B42" s="35" t="s">
        <v>127</v>
      </c>
      <c r="C42" s="14" t="s">
        <v>5</v>
      </c>
      <c r="D42" s="14">
        <v>1</v>
      </c>
      <c r="E42" s="8" t="s">
        <v>22</v>
      </c>
      <c r="F42" s="8">
        <f>[16]зам!$J$6+2407.79</f>
        <v>36736.905520000008</v>
      </c>
      <c r="G42" s="8">
        <f t="shared" si="0"/>
        <v>293895.24416000006</v>
      </c>
      <c r="H42" s="8">
        <f>[17]зам!$J$6+1503.06</f>
        <v>41061.426355371659</v>
      </c>
      <c r="I42" s="8">
        <f t="shared" si="1"/>
        <v>164245.70542148664</v>
      </c>
      <c r="J42" s="14">
        <f t="shared" si="2"/>
        <v>38178.412465123889</v>
      </c>
    </row>
    <row r="43" spans="1:10">
      <c r="A43" s="4"/>
      <c r="B43" s="35"/>
      <c r="C43" s="14" t="s">
        <v>9</v>
      </c>
      <c r="D43" s="14">
        <f>[17]зам!$D$16</f>
        <v>0.3</v>
      </c>
      <c r="E43" s="8" t="str">
        <f>[17]зам!$B$16</f>
        <v>Праведная Ирина Александровна</v>
      </c>
      <c r="F43" s="8">
        <f>[16]зам!$J$16</f>
        <v>7061.9894784000007</v>
      </c>
      <c r="G43" s="8">
        <f t="shared" si="0"/>
        <v>56495.915827200006</v>
      </c>
      <c r="H43" s="8">
        <f>[17]зам!$J$16</f>
        <v>8137.7210788193142</v>
      </c>
      <c r="I43" s="8">
        <f t="shared" si="1"/>
        <v>32550.884315277257</v>
      </c>
      <c r="J43" s="14">
        <f t="shared" si="2"/>
        <v>7420.5666785397725</v>
      </c>
    </row>
    <row r="44" spans="1:10">
      <c r="A44" s="4"/>
      <c r="B44" s="35"/>
      <c r="C44" s="14" t="s">
        <v>9</v>
      </c>
      <c r="D44" s="14">
        <f>[17]зам!$D$17</f>
        <v>0.3</v>
      </c>
      <c r="E44" s="8" t="str">
        <f>[17]зам!$B$17</f>
        <v>Драная Людмила Александровна</v>
      </c>
      <c r="F44" s="8">
        <f>[16]зам!$J$17</f>
        <v>8238.9877248000012</v>
      </c>
      <c r="G44" s="8">
        <f t="shared" si="0"/>
        <v>65911.901798400009</v>
      </c>
      <c r="H44" s="8">
        <f>[17]зам!$J$17</f>
        <v>9494.0079252891974</v>
      </c>
      <c r="I44" s="8">
        <f t="shared" si="1"/>
        <v>37976.031701156789</v>
      </c>
      <c r="J44" s="14">
        <f t="shared" si="2"/>
        <v>8657.327791629732</v>
      </c>
    </row>
    <row r="45" spans="1:10" ht="27">
      <c r="A45" s="4">
        <v>11</v>
      </c>
      <c r="B45" s="35" t="s">
        <v>128</v>
      </c>
      <c r="C45" s="14" t="s">
        <v>5</v>
      </c>
      <c r="D45" s="14">
        <v>1</v>
      </c>
      <c r="E45" s="8" t="s">
        <v>23</v>
      </c>
      <c r="F45" s="8">
        <f>[18]зам!$J$6+2067.11</f>
        <v>32696.13479</v>
      </c>
      <c r="G45" s="8">
        <f t="shared" si="0"/>
        <v>261569.07832</v>
      </c>
      <c r="H45" s="8">
        <f>[19]зам!$J$6+1009.31</f>
        <v>27135.591553136332</v>
      </c>
      <c r="I45" s="8">
        <f t="shared" si="1"/>
        <v>108542.36621254533</v>
      </c>
      <c r="J45" s="14">
        <f t="shared" si="2"/>
        <v>30842.620377712112</v>
      </c>
    </row>
    <row r="46" spans="1:10">
      <c r="A46" s="4"/>
      <c r="B46" s="35"/>
      <c r="C46" s="14" t="s">
        <v>9</v>
      </c>
      <c r="D46" s="14">
        <f>[19]зам!$D$16</f>
        <v>0.5</v>
      </c>
      <c r="E46" s="8" t="str">
        <f>[19]зам!$B$16</f>
        <v>Бем Татьяна Ивановна</v>
      </c>
      <c r="F46" s="8">
        <f>[18]зам!$J$16</f>
        <v>6125.8049580000006</v>
      </c>
      <c r="G46" s="8">
        <f t="shared" si="0"/>
        <v>49006.439664000005</v>
      </c>
      <c r="H46" s="8">
        <f>[19]зам!$J$16</f>
        <v>10450.512621254533</v>
      </c>
      <c r="I46" s="8">
        <f t="shared" si="1"/>
        <v>41802.050485018131</v>
      </c>
      <c r="J46" s="14">
        <f t="shared" si="2"/>
        <v>7567.3741790848444</v>
      </c>
    </row>
    <row r="47" spans="1:10">
      <c r="A47" s="4"/>
      <c r="B47" s="35"/>
      <c r="C47" s="14" t="s">
        <v>9</v>
      </c>
      <c r="D47" s="14">
        <v>0.25</v>
      </c>
      <c r="E47" s="8" t="str">
        <f>[18]зам!$B$17</f>
        <v>Мкртчян Елена Николаевна</v>
      </c>
      <c r="F47" s="8">
        <f>[18]зам!$J$17</f>
        <v>5654.5891920000004</v>
      </c>
      <c r="G47" s="8">
        <f t="shared" si="0"/>
        <v>45236.713536000003</v>
      </c>
      <c r="H47" s="8"/>
      <c r="I47" s="8">
        <f t="shared" si="1"/>
        <v>0</v>
      </c>
      <c r="J47" s="14">
        <f>(G47+I47)/8</f>
        <v>5654.5891920000004</v>
      </c>
    </row>
    <row r="48" spans="1:10" ht="27">
      <c r="A48" s="4">
        <v>12</v>
      </c>
      <c r="B48" s="35" t="s">
        <v>129</v>
      </c>
      <c r="C48" s="14" t="s">
        <v>5</v>
      </c>
      <c r="D48" s="14">
        <v>1</v>
      </c>
      <c r="E48" s="8" t="s">
        <v>24</v>
      </c>
      <c r="F48" s="8">
        <f>[20]зам!$J$6+2383.23</f>
        <v>31159.468399999998</v>
      </c>
      <c r="G48" s="8">
        <f t="shared" si="0"/>
        <v>249275.74719999998</v>
      </c>
      <c r="H48" s="8">
        <f>[21]зам!$J$6+2123.46</f>
        <v>35086.482361192015</v>
      </c>
      <c r="I48" s="8">
        <f t="shared" si="1"/>
        <v>140345.92944476806</v>
      </c>
      <c r="J48" s="14">
        <f t="shared" si="2"/>
        <v>32468.473053730671</v>
      </c>
    </row>
    <row r="49" spans="1:10">
      <c r="A49" s="4"/>
      <c r="B49" s="35"/>
      <c r="C49" s="14" t="s">
        <v>9</v>
      </c>
      <c r="D49" s="14">
        <f>[21]зам!$D$16</f>
        <v>0.75</v>
      </c>
      <c r="E49" s="8" t="str">
        <f>[21]зам!$B$16</f>
        <v>Тюрина Татьяна Алексеевна</v>
      </c>
      <c r="F49" s="8">
        <f>[20]зам!$J$16+1191.61</f>
        <v>24212.600720000002</v>
      </c>
      <c r="G49" s="8">
        <f t="shared" si="0"/>
        <v>193700.80576000002</v>
      </c>
      <c r="H49" s="8">
        <f>[21]зам!$J$16+1061.73</f>
        <v>20839.543416715213</v>
      </c>
      <c r="I49" s="8">
        <f t="shared" si="1"/>
        <v>83358.17366686085</v>
      </c>
      <c r="J49" s="14">
        <f t="shared" si="2"/>
        <v>23088.248285571739</v>
      </c>
    </row>
    <row r="50" spans="1:10">
      <c r="A50" s="4"/>
      <c r="B50" s="35"/>
      <c r="C50" s="14" t="s">
        <v>9</v>
      </c>
      <c r="D50" s="14">
        <f>[21]зам!$D$17</f>
        <v>0.25</v>
      </c>
      <c r="E50" s="8" t="str">
        <f>[21]зам!$B$17</f>
        <v>Абдрашитова Умет Жардешевна</v>
      </c>
      <c r="F50" s="8">
        <f>[20]зам!$J$17+1191.61</f>
        <v>6946.8576800000001</v>
      </c>
      <c r="G50" s="8">
        <f t="shared" si="0"/>
        <v>55574.861440000001</v>
      </c>
      <c r="H50" s="8">
        <f>[21]зам!$J$17</f>
        <v>6592.604472238404</v>
      </c>
      <c r="I50" s="8">
        <f t="shared" si="1"/>
        <v>26370.417888953616</v>
      </c>
      <c r="J50" s="14">
        <f t="shared" si="2"/>
        <v>6828.7732774128017</v>
      </c>
    </row>
    <row r="51" spans="1:10" ht="27">
      <c r="A51" s="4">
        <v>13</v>
      </c>
      <c r="B51" s="35" t="s">
        <v>130</v>
      </c>
      <c r="C51" s="14" t="s">
        <v>5</v>
      </c>
      <c r="D51" s="14">
        <v>1</v>
      </c>
      <c r="E51" s="8" t="str">
        <f>[22]зам!$B$6</f>
        <v>Бахтиярова Ляля Нажиповна</v>
      </c>
      <c r="F51" s="8">
        <f>[23]зам!$J$6+2222.64</f>
        <v>35173.769400000005</v>
      </c>
      <c r="G51" s="8">
        <f t="shared" si="0"/>
        <v>281390.15520000004</v>
      </c>
      <c r="H51" s="8">
        <f>[22]зам!$J$6+1790.53</f>
        <v>36327.068157255802</v>
      </c>
      <c r="I51" s="8">
        <f t="shared" si="1"/>
        <v>145308.27262902321</v>
      </c>
      <c r="J51" s="14">
        <f t="shared" si="2"/>
        <v>35558.202319085271</v>
      </c>
    </row>
    <row r="52" spans="1:10">
      <c r="A52" s="4"/>
      <c r="B52" s="35"/>
      <c r="C52" s="14" t="s">
        <v>9</v>
      </c>
      <c r="D52" s="14">
        <f>[22]зам!$D$16</f>
        <v>1</v>
      </c>
      <c r="E52" s="8" t="str">
        <f>[22]зам!$B$16</f>
        <v>Бахтиярова Сария Анваровна</v>
      </c>
      <c r="F52" s="8">
        <f>[23]зам!$J$16+5186.15</f>
        <v>31547.053520000001</v>
      </c>
      <c r="G52" s="8">
        <f t="shared" si="0"/>
        <v>252376.42816000001</v>
      </c>
      <c r="H52" s="8">
        <f>[22]зам!$J$16+4177.91</f>
        <v>31807.140525804647</v>
      </c>
      <c r="I52" s="8">
        <f t="shared" si="1"/>
        <v>127228.56210321859</v>
      </c>
      <c r="J52" s="14">
        <f t="shared" si="2"/>
        <v>31633.749188601549</v>
      </c>
    </row>
    <row r="53" spans="1:10">
      <c r="A53" s="4"/>
      <c r="B53" s="35"/>
      <c r="C53" s="14" t="s">
        <v>9</v>
      </c>
      <c r="D53" s="14">
        <f>[22]зам!$D$17</f>
        <v>0.75</v>
      </c>
      <c r="E53" s="8" t="str">
        <f>[22]зам!$B$17</f>
        <v>Шрейдер Татьяна Борисовна</v>
      </c>
      <c r="F53" s="8">
        <f>[23]зам!$J$17</f>
        <v>18358.486380000002</v>
      </c>
      <c r="G53" s="8">
        <f t="shared" si="0"/>
        <v>146867.89104000002</v>
      </c>
      <c r="H53" s="8">
        <f>[22]зам!$J$17</f>
        <v>20721.922894353487</v>
      </c>
      <c r="I53" s="8">
        <f t="shared" si="1"/>
        <v>82887.691577413949</v>
      </c>
      <c r="J53" s="14">
        <f t="shared" si="2"/>
        <v>19146.298551451164</v>
      </c>
    </row>
    <row r="54" spans="1:10" ht="27">
      <c r="A54" s="4">
        <v>14</v>
      </c>
      <c r="B54" s="35" t="s">
        <v>131</v>
      </c>
      <c r="C54" s="14" t="s">
        <v>5</v>
      </c>
      <c r="D54" s="14">
        <v>1</v>
      </c>
      <c r="E54" s="8" t="str">
        <f>'[24]зам '!$B$6</f>
        <v>Агапова Марина Владимировна</v>
      </c>
      <c r="F54" s="8">
        <f>[25]зам!$J$6+1776.84</f>
        <v>28698.95088</v>
      </c>
      <c r="G54" s="8">
        <f t="shared" si="0"/>
        <v>229591.60704</v>
      </c>
      <c r="H54" s="8">
        <f>'[24]зам '!$J$6+1602.55</f>
        <v>32101.395608273822</v>
      </c>
      <c r="I54" s="8">
        <f t="shared" si="1"/>
        <v>128405.58243309529</v>
      </c>
      <c r="J54" s="14">
        <f t="shared" si="2"/>
        <v>29833.09912275794</v>
      </c>
    </row>
    <row r="55" spans="1:10">
      <c r="A55" s="4"/>
      <c r="B55" s="35"/>
      <c r="C55" s="14" t="s">
        <v>9</v>
      </c>
      <c r="D55" s="14">
        <f>'[24]зам '!$D$16</f>
        <v>0.5</v>
      </c>
      <c r="E55" s="8" t="str">
        <f>'[24]зам '!$B$16</f>
        <v>Ильясова Татьяна Викторовна</v>
      </c>
      <c r="F55" s="8">
        <f>[25]зам!$J$16+1776.84</f>
        <v>23314.528704</v>
      </c>
      <c r="G55" s="8">
        <f t="shared" si="0"/>
        <v>186516.229632</v>
      </c>
      <c r="H55" s="8">
        <f>'[24]зам '!$J$16</f>
        <v>9585.3514768860587</v>
      </c>
      <c r="I55" s="8">
        <f t="shared" si="1"/>
        <v>38341.405907544235</v>
      </c>
      <c r="J55" s="14">
        <f t="shared" si="2"/>
        <v>18738.13629496202</v>
      </c>
    </row>
    <row r="56" spans="1:10" ht="27">
      <c r="A56" s="4">
        <v>15</v>
      </c>
      <c r="B56" s="35" t="s">
        <v>132</v>
      </c>
      <c r="C56" s="14" t="s">
        <v>5</v>
      </c>
      <c r="D56" s="14">
        <v>1</v>
      </c>
      <c r="E56" s="8" t="str">
        <f>[26]зам!$B$6</f>
        <v>Иванова Елена Петровна</v>
      </c>
      <c r="F56" s="8">
        <f>[27]зам!$J$6+2057.59</f>
        <v>29239.061993099731</v>
      </c>
      <c r="G56" s="8">
        <f t="shared" si="0"/>
        <v>233912.49594479785</v>
      </c>
      <c r="H56" s="8">
        <f>[26]зам!$J$6+1230.74</f>
        <v>29461.529295956872</v>
      </c>
      <c r="I56" s="8">
        <f t="shared" si="1"/>
        <v>117846.11718382749</v>
      </c>
      <c r="J56" s="14">
        <f t="shared" si="2"/>
        <v>29313.217760718777</v>
      </c>
    </row>
    <row r="57" spans="1:10">
      <c r="A57" s="4"/>
      <c r="B57" s="35"/>
      <c r="C57" s="14" t="s">
        <v>9</v>
      </c>
      <c r="D57" s="14">
        <f>[26]зам!$D$16</f>
        <v>0.5</v>
      </c>
      <c r="E57" s="8" t="str">
        <f>[26]зам!$B$16</f>
        <v>Болкунова Анна Владимировна</v>
      </c>
      <c r="F57" s="8">
        <f>[27]зам!$J$16+1028.79</f>
        <v>13713.476930113207</v>
      </c>
      <c r="G57" s="8">
        <f t="shared" si="0"/>
        <v>109707.81544090566</v>
      </c>
      <c r="H57" s="8">
        <f>[26]зам!$J$16</f>
        <v>13174.368338113207</v>
      </c>
      <c r="I57" s="8">
        <f t="shared" si="1"/>
        <v>52697.473352452827</v>
      </c>
      <c r="J57" s="14">
        <f t="shared" si="2"/>
        <v>13533.774066113207</v>
      </c>
    </row>
    <row r="58" spans="1:10">
      <c r="A58" s="4"/>
      <c r="B58" s="35"/>
      <c r="C58" s="14" t="s">
        <v>9</v>
      </c>
      <c r="D58" s="14">
        <f>[26]зам!$D$17</f>
        <v>0.5</v>
      </c>
      <c r="E58" s="8" t="str">
        <f>[26]зам!$B$17</f>
        <v>Пастухова Светлана Юрьевна</v>
      </c>
      <c r="F58" s="8">
        <f>[27]зам!$J$17+1028.79</f>
        <v>13713.476930113207</v>
      </c>
      <c r="G58" s="8">
        <f t="shared" si="0"/>
        <v>109707.81544090566</v>
      </c>
      <c r="H58" s="8">
        <f>[26]зам!$J$17</f>
        <v>13174.368338113207</v>
      </c>
      <c r="I58" s="8">
        <f t="shared" si="1"/>
        <v>52697.473352452827</v>
      </c>
      <c r="J58" s="14">
        <f t="shared" si="2"/>
        <v>13533.774066113207</v>
      </c>
    </row>
    <row r="59" spans="1:10" ht="27">
      <c r="A59" s="4">
        <v>16</v>
      </c>
      <c r="B59" s="35" t="s">
        <v>133</v>
      </c>
      <c r="C59" s="14" t="s">
        <v>5</v>
      </c>
      <c r="D59" s="14">
        <v>1</v>
      </c>
      <c r="E59" s="8" t="str">
        <f>[28]зам!$B$6</f>
        <v>Адова Татьяна Николаевна</v>
      </c>
      <c r="F59" s="8">
        <f>[29]зам!$J$6+1959.64</f>
        <v>24112.808519999999</v>
      </c>
      <c r="G59" s="8">
        <f t="shared" si="0"/>
        <v>192902.46815999999</v>
      </c>
      <c r="H59" s="8">
        <f>[28]зам!$J$6+1724.22</f>
        <v>32417.346969950115</v>
      </c>
      <c r="I59" s="8">
        <f t="shared" si="1"/>
        <v>129669.38787980046</v>
      </c>
      <c r="J59" s="14">
        <f t="shared" si="2"/>
        <v>26880.988003316703</v>
      </c>
    </row>
    <row r="60" spans="1:10">
      <c r="A60" s="4"/>
      <c r="B60" s="35"/>
      <c r="C60" s="14" t="s">
        <v>9</v>
      </c>
      <c r="D60" s="14">
        <f>[28]зам!$D$16</f>
        <v>0.25</v>
      </c>
      <c r="E60" s="8" t="str">
        <f>[28]зам!$B$16</f>
        <v>Джумма Надежда Викторовна</v>
      </c>
      <c r="F60" s="8">
        <f>[29]зам!$J$16+656.51</f>
        <v>5973.2704447999995</v>
      </c>
      <c r="G60" s="8">
        <f t="shared" si="0"/>
        <v>47786.163558399996</v>
      </c>
      <c r="H60" s="8">
        <f>[28]зам!$J$16</f>
        <v>6138.6253939900225</v>
      </c>
      <c r="I60" s="8">
        <f t="shared" si="1"/>
        <v>24554.50157596009</v>
      </c>
      <c r="J60" s="14">
        <f t="shared" si="2"/>
        <v>6028.3887611966738</v>
      </c>
    </row>
    <row r="61" spans="1:10">
      <c r="A61" s="4"/>
      <c r="B61" s="35"/>
      <c r="C61" s="14" t="s">
        <v>9</v>
      </c>
      <c r="D61" s="14">
        <v>0.3</v>
      </c>
      <c r="E61" s="8" t="str">
        <f>[29]зам!$B$17</f>
        <v>Чебрукова Татьяна Алексеевна</v>
      </c>
      <c r="F61" s="8">
        <f>[29]зам!$J$17+656.51</f>
        <v>3441.4797568000004</v>
      </c>
      <c r="G61" s="8">
        <f t="shared" si="0"/>
        <v>27531.838054400003</v>
      </c>
      <c r="H61" s="8"/>
      <c r="I61" s="8">
        <f t="shared" si="1"/>
        <v>0</v>
      </c>
      <c r="J61" s="14">
        <f>(G61+I61)/8</f>
        <v>3441.4797568000004</v>
      </c>
    </row>
    <row r="62" spans="1:10" ht="27">
      <c r="A62" s="4">
        <v>17</v>
      </c>
      <c r="B62" s="35" t="s">
        <v>134</v>
      </c>
      <c r="C62" s="14" t="s">
        <v>5</v>
      </c>
      <c r="D62" s="14">
        <v>1</v>
      </c>
      <c r="E62" s="8" t="str">
        <f>[30]зам!$B$6</f>
        <v>Иванова Наталья Петровна</v>
      </c>
      <c r="F62" s="8">
        <f>[31]зам!$J$6+2091.91</f>
        <v>37798.071400000001</v>
      </c>
      <c r="G62" s="8">
        <f t="shared" si="0"/>
        <v>302384.57120000001</v>
      </c>
      <c r="H62" s="8">
        <f>[30]зам!$J$6+1779.27</f>
        <v>40521.327134458712</v>
      </c>
      <c r="I62" s="8">
        <f t="shared" si="1"/>
        <v>162085.30853783485</v>
      </c>
      <c r="J62" s="14">
        <f t="shared" si="2"/>
        <v>38705.823311486238</v>
      </c>
    </row>
    <row r="63" spans="1:10">
      <c r="A63" s="4"/>
      <c r="B63" s="35"/>
      <c r="C63" s="14" t="s">
        <v>9</v>
      </c>
      <c r="D63" s="14">
        <f>[30]зам!$D$16</f>
        <v>1</v>
      </c>
      <c r="E63" s="8" t="str">
        <f>[30]зам!$B$16</f>
        <v>Кернос Ирина Семеновна</v>
      </c>
      <c r="F63" s="8">
        <f>[31]зам!$J$16+2440.56</f>
        <v>31005.489120000006</v>
      </c>
      <c r="G63" s="8">
        <f t="shared" si="0"/>
        <v>248043.91296000005</v>
      </c>
      <c r="H63" s="8">
        <f>[30]зам!$J$16+2075.82</f>
        <v>33069.465707566975</v>
      </c>
      <c r="I63" s="8">
        <f t="shared" si="1"/>
        <v>132277.8628302679</v>
      </c>
      <c r="J63" s="14">
        <f t="shared" si="2"/>
        <v>31693.481315855664</v>
      </c>
    </row>
    <row r="64" spans="1:10">
      <c r="A64" s="4"/>
      <c r="B64" s="35"/>
      <c r="C64" s="14" t="s">
        <v>9</v>
      </c>
      <c r="D64" s="14">
        <f>[30]зам!$D$17</f>
        <v>1</v>
      </c>
      <c r="E64" s="8" t="str">
        <f>[30]зам!$B$17</f>
        <v>Ворожбитова Анна Юрьевна</v>
      </c>
      <c r="F64" s="8">
        <f>[31]зам!$J$17+2440.56</f>
        <v>31005.489120000006</v>
      </c>
      <c r="G64" s="8">
        <f t="shared" si="0"/>
        <v>248043.91296000005</v>
      </c>
      <c r="H64" s="8">
        <f>[30]зам!$J$17+2075.82</f>
        <v>33069.465707566975</v>
      </c>
      <c r="I64" s="8">
        <f t="shared" si="1"/>
        <v>132277.8628302679</v>
      </c>
      <c r="J64" s="14">
        <f t="shared" si="2"/>
        <v>31693.481315855664</v>
      </c>
    </row>
    <row r="65" spans="1:10" ht="27">
      <c r="A65" s="4">
        <v>18</v>
      </c>
      <c r="B65" s="35" t="s">
        <v>135</v>
      </c>
      <c r="C65" s="14" t="s">
        <v>5</v>
      </c>
      <c r="D65" s="14">
        <v>1</v>
      </c>
      <c r="E65" s="8" t="str">
        <f>[32]зам!$B$6</f>
        <v>Зиновьева Марина Николаевна</v>
      </c>
      <c r="F65" s="8">
        <f>[33]зам!$J$6+1900.13</f>
        <v>33388.986099999995</v>
      </c>
      <c r="G65" s="8">
        <f t="shared" si="0"/>
        <v>267111.88879999996</v>
      </c>
      <c r="H65" s="8">
        <f>[32]зам!$J$6+1375.47</f>
        <v>34576.039837378645</v>
      </c>
      <c r="I65" s="8">
        <f t="shared" si="1"/>
        <v>138304.15934951458</v>
      </c>
      <c r="J65" s="14">
        <f t="shared" si="2"/>
        <v>33784.670679126211</v>
      </c>
    </row>
    <row r="66" spans="1:10">
      <c r="A66" s="4"/>
      <c r="B66" s="35"/>
      <c r="C66" s="14" t="s">
        <v>9</v>
      </c>
      <c r="D66" s="14">
        <f>[32]зам!$D$16</f>
        <v>1</v>
      </c>
      <c r="E66" s="8" t="str">
        <f>[32]зам!$B$16</f>
        <v>Иванова Онега Алексанровна</v>
      </c>
      <c r="F66" s="8">
        <f>[33]зам!$J$16+4433.65</f>
        <v>31562.51064</v>
      </c>
      <c r="G66" s="8">
        <f t="shared" si="0"/>
        <v>252500.08512</v>
      </c>
      <c r="H66" s="8">
        <f>[32]зам!$J$16+3209.43</f>
        <v>31812.997859895451</v>
      </c>
      <c r="I66" s="8">
        <f t="shared" si="1"/>
        <v>127251.99143958181</v>
      </c>
      <c r="J66" s="14">
        <f t="shared" si="2"/>
        <v>31646.006379965151</v>
      </c>
    </row>
    <row r="67" spans="1:10">
      <c r="A67" s="4"/>
      <c r="B67" s="35"/>
      <c r="C67" s="14" t="s">
        <v>9</v>
      </c>
      <c r="D67" s="14">
        <f>[32]зам!$D$17</f>
        <v>0.5</v>
      </c>
      <c r="E67" s="8" t="str">
        <f>[32]зам!$B$17</f>
        <v>Курбатова Анна Александровна</v>
      </c>
      <c r="F67" s="8">
        <f>[33]зам!$J$17</f>
        <v>11626.654559999999</v>
      </c>
      <c r="G67" s="8">
        <f t="shared" si="0"/>
        <v>93013.236479999992</v>
      </c>
      <c r="H67" s="8">
        <f>[32]зам!$J$17</f>
        <v>12258.671939955191</v>
      </c>
      <c r="I67" s="8">
        <f t="shared" si="1"/>
        <v>49034.687759820765</v>
      </c>
      <c r="J67" s="14">
        <f>(G67+I67)/12</f>
        <v>11837.327019985061</v>
      </c>
    </row>
    <row r="68" spans="1:10" ht="27">
      <c r="A68" s="4">
        <v>19</v>
      </c>
      <c r="B68" s="35" t="s">
        <v>136</v>
      </c>
      <c r="C68" s="14" t="s">
        <v>5</v>
      </c>
      <c r="D68" s="14">
        <v>1</v>
      </c>
      <c r="E68" s="8" t="s">
        <v>61</v>
      </c>
      <c r="F68" s="8"/>
      <c r="G68" s="8"/>
      <c r="H68" s="8"/>
      <c r="I68" s="8"/>
      <c r="J68" s="14">
        <v>54554.95</v>
      </c>
    </row>
    <row r="69" spans="1:10">
      <c r="A69" s="4"/>
      <c r="B69" s="35"/>
      <c r="C69" s="14" t="s">
        <v>9</v>
      </c>
      <c r="D69" s="14">
        <v>1</v>
      </c>
      <c r="E69" s="8" t="s">
        <v>62</v>
      </c>
      <c r="F69" s="8"/>
      <c r="G69" s="8"/>
      <c r="H69" s="8"/>
      <c r="I69" s="8"/>
      <c r="J69" s="14">
        <v>43643.96</v>
      </c>
    </row>
    <row r="70" spans="1:10">
      <c r="A70" s="4"/>
      <c r="B70" s="35"/>
      <c r="C70" s="14" t="s">
        <v>9</v>
      </c>
      <c r="D70" s="14">
        <v>0.3</v>
      </c>
      <c r="E70" s="8" t="s">
        <v>63</v>
      </c>
      <c r="F70" s="8"/>
      <c r="G70" s="8"/>
      <c r="H70" s="8"/>
      <c r="I70" s="8"/>
      <c r="J70" s="14">
        <v>13093.19</v>
      </c>
    </row>
    <row r="71" spans="1:10">
      <c r="A71" s="4"/>
      <c r="B71" s="35"/>
      <c r="C71" s="14" t="s">
        <v>9</v>
      </c>
      <c r="D71" s="14">
        <v>1</v>
      </c>
      <c r="E71" s="8" t="s">
        <v>64</v>
      </c>
      <c r="F71" s="8"/>
      <c r="G71" s="8"/>
      <c r="H71" s="8"/>
      <c r="I71" s="8"/>
      <c r="J71" s="14">
        <v>43643.96</v>
      </c>
    </row>
    <row r="72" spans="1:10">
      <c r="A72" s="4"/>
      <c r="B72" s="35"/>
      <c r="C72" s="14" t="s">
        <v>9</v>
      </c>
      <c r="D72" s="14">
        <v>1</v>
      </c>
      <c r="E72" s="8" t="s">
        <v>65</v>
      </c>
      <c r="F72" s="8"/>
      <c r="G72" s="8"/>
      <c r="H72" s="8"/>
      <c r="I72" s="8"/>
      <c r="J72" s="14">
        <v>17124.312000000002</v>
      </c>
    </row>
    <row r="73" spans="1:10">
      <c r="A73" s="4"/>
      <c r="B73" s="35"/>
      <c r="C73" s="14" t="s">
        <v>9</v>
      </c>
      <c r="D73" s="14">
        <v>1</v>
      </c>
      <c r="E73" s="8" t="s">
        <v>66</v>
      </c>
      <c r="F73" s="8"/>
      <c r="G73" s="8"/>
      <c r="H73" s="8"/>
      <c r="I73" s="8"/>
      <c r="J73" s="14">
        <v>28963.48</v>
      </c>
    </row>
    <row r="74" spans="1:10">
      <c r="A74" s="4"/>
      <c r="B74" s="35"/>
      <c r="C74" s="14" t="s">
        <v>9</v>
      </c>
      <c r="D74" s="14">
        <v>0.2</v>
      </c>
      <c r="E74" s="8" t="s">
        <v>67</v>
      </c>
      <c r="F74" s="8"/>
      <c r="G74" s="8"/>
      <c r="H74" s="8"/>
      <c r="I74" s="8"/>
      <c r="J74" s="14">
        <v>7875.44</v>
      </c>
    </row>
    <row r="75" spans="1:10">
      <c r="A75" s="4"/>
      <c r="B75" s="35"/>
      <c r="C75" s="14" t="s">
        <v>9</v>
      </c>
      <c r="D75" s="14">
        <v>0.2</v>
      </c>
      <c r="E75" s="8" t="s">
        <v>68</v>
      </c>
      <c r="F75" s="8"/>
      <c r="G75" s="8"/>
      <c r="H75" s="8"/>
      <c r="I75" s="8"/>
      <c r="J75" s="14">
        <v>7701.87</v>
      </c>
    </row>
    <row r="76" spans="1:10">
      <c r="A76" s="4"/>
      <c r="B76" s="35"/>
      <c r="C76" s="14" t="s">
        <v>9</v>
      </c>
      <c r="D76" s="14">
        <v>0.3</v>
      </c>
      <c r="E76" s="8" t="s">
        <v>69</v>
      </c>
      <c r="F76" s="8"/>
      <c r="G76" s="8"/>
      <c r="H76" s="8"/>
      <c r="I76" s="8"/>
      <c r="J76" s="14">
        <v>7647.67</v>
      </c>
    </row>
    <row r="77" spans="1:10">
      <c r="A77" s="4"/>
      <c r="B77" s="35"/>
      <c r="C77" s="14" t="s">
        <v>9</v>
      </c>
      <c r="D77" s="14">
        <v>1</v>
      </c>
      <c r="E77" s="8" t="s">
        <v>138</v>
      </c>
      <c r="F77" s="8"/>
      <c r="G77" s="8"/>
      <c r="H77" s="8"/>
      <c r="I77" s="8"/>
      <c r="J77" s="14">
        <v>43643.96</v>
      </c>
    </row>
    <row r="78" spans="1:10">
      <c r="A78" s="4"/>
      <c r="B78" s="35"/>
      <c r="C78" s="14" t="s">
        <v>70</v>
      </c>
      <c r="D78" s="14">
        <v>1</v>
      </c>
      <c r="E78" s="8" t="s">
        <v>71</v>
      </c>
      <c r="F78" s="8"/>
      <c r="G78" s="8"/>
      <c r="H78" s="8"/>
      <c r="I78" s="8"/>
      <c r="J78" s="14">
        <v>33695.699999999997</v>
      </c>
    </row>
    <row r="79" spans="1:10">
      <c r="A79" s="4">
        <v>20</v>
      </c>
      <c r="B79" s="35" t="s">
        <v>72</v>
      </c>
      <c r="C79" s="14" t="s">
        <v>5</v>
      </c>
      <c r="D79" s="14">
        <v>1</v>
      </c>
      <c r="E79" s="8" t="s">
        <v>73</v>
      </c>
      <c r="F79" s="8"/>
      <c r="G79" s="8"/>
      <c r="H79" s="8"/>
      <c r="I79" s="8"/>
      <c r="J79" s="14">
        <v>44638.89</v>
      </c>
    </row>
    <row r="80" spans="1:10">
      <c r="A80" s="4"/>
      <c r="B80" s="35"/>
      <c r="C80" s="14" t="s">
        <v>9</v>
      </c>
      <c r="D80" s="14">
        <v>1</v>
      </c>
      <c r="E80" s="8" t="s">
        <v>74</v>
      </c>
      <c r="F80" s="8"/>
      <c r="G80" s="8"/>
      <c r="H80" s="8"/>
      <c r="I80" s="8"/>
      <c r="J80" s="14">
        <v>35711.11</v>
      </c>
    </row>
    <row r="81" spans="1:10">
      <c r="A81" s="4"/>
      <c r="B81" s="35"/>
      <c r="C81" s="14" t="s">
        <v>9</v>
      </c>
      <c r="D81" s="14">
        <v>0.5</v>
      </c>
      <c r="E81" s="8" t="s">
        <v>75</v>
      </c>
      <c r="F81" s="8"/>
      <c r="G81" s="8"/>
      <c r="H81" s="8"/>
      <c r="I81" s="8"/>
      <c r="J81" s="14">
        <v>10868.38</v>
      </c>
    </row>
    <row r="82" spans="1:10">
      <c r="A82" s="4"/>
      <c r="B82" s="35"/>
      <c r="C82" s="14" t="s">
        <v>9</v>
      </c>
      <c r="D82" s="14">
        <v>0.5</v>
      </c>
      <c r="E82" s="8" t="s">
        <v>76</v>
      </c>
      <c r="F82" s="8"/>
      <c r="G82" s="8"/>
      <c r="H82" s="8"/>
      <c r="I82" s="8"/>
      <c r="J82" s="14">
        <v>4148.13</v>
      </c>
    </row>
    <row r="83" spans="1:10">
      <c r="A83" s="4"/>
      <c r="B83" s="35"/>
      <c r="C83" s="14" t="s">
        <v>9</v>
      </c>
      <c r="D83" s="14">
        <v>0.2</v>
      </c>
      <c r="E83" s="8" t="s">
        <v>77</v>
      </c>
      <c r="F83" s="8"/>
      <c r="G83" s="8"/>
      <c r="H83" s="8"/>
      <c r="I83" s="8"/>
      <c r="J83" s="14">
        <v>2292.44</v>
      </c>
    </row>
    <row r="84" spans="1:10">
      <c r="A84" s="4"/>
      <c r="B84" s="35"/>
      <c r="C84" s="14" t="s">
        <v>9</v>
      </c>
      <c r="D84" s="14">
        <v>0.5</v>
      </c>
      <c r="E84" s="8" t="s">
        <v>78</v>
      </c>
      <c r="F84" s="8"/>
      <c r="G84" s="8"/>
      <c r="H84" s="8"/>
      <c r="I84" s="8"/>
      <c r="J84" s="14">
        <v>14889.71</v>
      </c>
    </row>
    <row r="85" spans="1:10">
      <c r="A85" s="4"/>
      <c r="B85" s="35"/>
      <c r="C85" s="14" t="s">
        <v>9</v>
      </c>
      <c r="D85" s="14">
        <v>0.35</v>
      </c>
      <c r="E85" s="8" t="s">
        <v>79</v>
      </c>
      <c r="F85" s="8"/>
      <c r="G85" s="8"/>
      <c r="H85" s="8"/>
      <c r="I85" s="8"/>
      <c r="J85" s="14">
        <v>7093.83</v>
      </c>
    </row>
    <row r="86" spans="1:10">
      <c r="A86" s="4"/>
      <c r="B86" s="35"/>
      <c r="C86" s="14" t="s">
        <v>9</v>
      </c>
      <c r="D86" s="14">
        <v>0.5</v>
      </c>
      <c r="E86" s="8" t="s">
        <v>80</v>
      </c>
      <c r="F86" s="8"/>
      <c r="G86" s="8"/>
      <c r="H86" s="8"/>
      <c r="I86" s="8"/>
      <c r="J86" s="14">
        <v>16005.68</v>
      </c>
    </row>
    <row r="87" spans="1:10">
      <c r="A87" s="4"/>
      <c r="B87" s="35"/>
      <c r="C87" s="14" t="s">
        <v>9</v>
      </c>
      <c r="D87" s="14">
        <v>0.75</v>
      </c>
      <c r="E87" s="8" t="s">
        <v>81</v>
      </c>
      <c r="F87" s="8"/>
      <c r="G87" s="8"/>
      <c r="H87" s="8"/>
      <c r="I87" s="8"/>
      <c r="J87" s="14">
        <v>26783.33</v>
      </c>
    </row>
    <row r="88" spans="1:10">
      <c r="A88" s="4"/>
      <c r="B88" s="35"/>
      <c r="C88" s="14" t="s">
        <v>82</v>
      </c>
      <c r="D88" s="14">
        <v>1</v>
      </c>
      <c r="E88" s="8" t="s">
        <v>83</v>
      </c>
      <c r="F88" s="8"/>
      <c r="G88" s="8"/>
      <c r="H88" s="8"/>
      <c r="I88" s="8"/>
      <c r="J88" s="14">
        <v>35711.11</v>
      </c>
    </row>
    <row r="89" spans="1:10" ht="27">
      <c r="A89" s="4">
        <v>21</v>
      </c>
      <c r="B89" s="35" t="s">
        <v>137</v>
      </c>
      <c r="C89" s="14" t="s">
        <v>5</v>
      </c>
      <c r="D89" s="14">
        <v>1</v>
      </c>
      <c r="E89" s="8" t="s">
        <v>109</v>
      </c>
      <c r="F89" s="8"/>
      <c r="G89" s="8"/>
      <c r="H89" s="8"/>
      <c r="I89" s="8"/>
      <c r="J89" s="14">
        <v>56999.08</v>
      </c>
    </row>
    <row r="90" spans="1:10">
      <c r="A90" s="4"/>
      <c r="B90" s="35"/>
      <c r="C90" s="14" t="s">
        <v>9</v>
      </c>
      <c r="D90" s="14">
        <v>0.75</v>
      </c>
      <c r="E90" s="8" t="s">
        <v>110</v>
      </c>
      <c r="F90" s="8"/>
      <c r="G90" s="8"/>
      <c r="H90" s="8"/>
      <c r="I90" s="8"/>
      <c r="J90" s="14">
        <v>33999.339999999997</v>
      </c>
    </row>
    <row r="91" spans="1:10">
      <c r="A91" s="4"/>
      <c r="B91" s="35"/>
      <c r="C91" s="14" t="s">
        <v>9</v>
      </c>
      <c r="D91" s="14">
        <v>0.75</v>
      </c>
      <c r="E91" s="8" t="s">
        <v>111</v>
      </c>
      <c r="F91" s="8"/>
      <c r="G91" s="8"/>
      <c r="H91" s="8"/>
      <c r="I91" s="8"/>
      <c r="J91" s="14">
        <v>33999.339999999997</v>
      </c>
    </row>
    <row r="92" spans="1:10">
      <c r="A92" s="4"/>
      <c r="B92" s="35"/>
      <c r="C92" s="14" t="s">
        <v>9</v>
      </c>
      <c r="D92" s="14">
        <v>0.75</v>
      </c>
      <c r="E92" s="8" t="s">
        <v>112</v>
      </c>
      <c r="F92" s="8"/>
      <c r="G92" s="8"/>
      <c r="H92" s="8"/>
      <c r="I92" s="8"/>
      <c r="J92" s="14">
        <v>33780.839999999997</v>
      </c>
    </row>
    <row r="93" spans="1:10">
      <c r="A93" s="4"/>
      <c r="B93" s="35"/>
      <c r="C93" s="14" t="s">
        <v>9</v>
      </c>
      <c r="D93" s="14">
        <v>1</v>
      </c>
      <c r="E93" s="8" t="s">
        <v>113</v>
      </c>
      <c r="F93" s="8"/>
      <c r="G93" s="8"/>
      <c r="H93" s="8"/>
      <c r="I93" s="8"/>
      <c r="J93" s="14">
        <v>44680.79</v>
      </c>
    </row>
    <row r="94" spans="1:10">
      <c r="A94" s="4"/>
      <c r="B94" s="35"/>
      <c r="C94" s="14" t="s">
        <v>9</v>
      </c>
      <c r="D94" s="14">
        <v>1</v>
      </c>
      <c r="E94" s="8" t="s">
        <v>114</v>
      </c>
      <c r="F94" s="8"/>
      <c r="G94" s="8"/>
      <c r="H94" s="8"/>
      <c r="I94" s="8"/>
      <c r="J94" s="14">
        <v>44461.29</v>
      </c>
    </row>
    <row r="95" spans="1:10">
      <c r="A95" s="4"/>
      <c r="B95" s="35"/>
      <c r="C95" s="14" t="s">
        <v>9</v>
      </c>
      <c r="D95" s="14">
        <v>0.75</v>
      </c>
      <c r="E95" s="8" t="s">
        <v>115</v>
      </c>
      <c r="F95" s="8"/>
      <c r="G95" s="8"/>
      <c r="H95" s="8"/>
      <c r="I95" s="8"/>
      <c r="J95" s="14">
        <v>33780.85</v>
      </c>
    </row>
    <row r="96" spans="1:10">
      <c r="A96" s="4"/>
      <c r="B96" s="35"/>
      <c r="C96" s="14" t="s">
        <v>9</v>
      </c>
      <c r="D96" s="14">
        <v>1</v>
      </c>
      <c r="E96" s="8" t="s">
        <v>116</v>
      </c>
      <c r="F96" s="8"/>
      <c r="G96" s="8"/>
      <c r="H96" s="8"/>
      <c r="I96" s="8"/>
      <c r="J96" s="14">
        <v>42783.29</v>
      </c>
    </row>
    <row r="97" spans="1:10">
      <c r="A97" s="4"/>
      <c r="B97" s="35"/>
      <c r="C97" s="14" t="s">
        <v>82</v>
      </c>
      <c r="D97" s="14">
        <v>1</v>
      </c>
      <c r="E97" s="8" t="s">
        <v>87</v>
      </c>
      <c r="F97" s="8"/>
      <c r="G97" s="8"/>
      <c r="H97" s="8"/>
      <c r="I97" s="8"/>
      <c r="J97" s="14">
        <v>42783.29</v>
      </c>
    </row>
    <row r="98" spans="1:10">
      <c r="A98" s="5"/>
      <c r="B98" s="5" t="s">
        <v>1</v>
      </c>
      <c r="C98" s="12"/>
      <c r="D98" s="21">
        <f>SUM(D22:D67)</f>
        <v>32.900000000000006</v>
      </c>
      <c r="E98" s="12"/>
      <c r="F98" s="12">
        <f>SUM(F22:F67)</f>
        <v>907129.5552375596</v>
      </c>
      <c r="G98" s="12">
        <f>SUM(G22:G67)</f>
        <v>7257036.4419004768</v>
      </c>
      <c r="H98" s="12">
        <f>SUM(H22:H65)</f>
        <v>883547.2648177495</v>
      </c>
      <c r="I98" s="12">
        <f>SUM(I22:I65)</f>
        <v>3534189.059270998</v>
      </c>
      <c r="J98" s="16"/>
    </row>
    <row r="99" spans="1:10">
      <c r="A99" s="1"/>
      <c r="B99" s="1"/>
      <c r="C99" s="1"/>
      <c r="D99" s="1"/>
      <c r="E99" s="1"/>
      <c r="F99" s="18"/>
      <c r="G99" s="18"/>
      <c r="H99" s="18"/>
    </row>
    <row r="100" spans="1:10">
      <c r="A100" s="1"/>
      <c r="B100" s="1"/>
      <c r="C100" s="1"/>
      <c r="D100" s="1"/>
      <c r="E100" s="1"/>
      <c r="F100" s="18"/>
      <c r="G100" s="18"/>
      <c r="H100" s="1"/>
    </row>
    <row r="101" spans="1:10">
      <c r="A101" s="1"/>
      <c r="B101" s="1" t="s">
        <v>102</v>
      </c>
      <c r="C101" s="1"/>
      <c r="D101" s="1"/>
      <c r="E101" s="1" t="s">
        <v>103</v>
      </c>
      <c r="F101" s="1"/>
      <c r="G101" s="1"/>
      <c r="H101" s="1"/>
    </row>
    <row r="102" spans="1:10">
      <c r="A102" s="1"/>
      <c r="B102" s="1"/>
      <c r="C102" s="1"/>
      <c r="D102" s="1"/>
      <c r="E102" s="1"/>
      <c r="F102" s="1"/>
      <c r="G102" s="1"/>
      <c r="H102" s="1"/>
    </row>
    <row r="103" spans="1:10">
      <c r="A103" s="1"/>
      <c r="B103" s="1"/>
      <c r="C103" s="1"/>
      <c r="D103" s="1"/>
      <c r="E103" s="1"/>
      <c r="F103" s="1"/>
      <c r="G103" s="1"/>
      <c r="H103" s="1"/>
    </row>
    <row r="104" spans="1:10">
      <c r="A104" s="1"/>
      <c r="B104" s="1"/>
      <c r="C104" s="1"/>
      <c r="D104" s="1"/>
      <c r="E104" s="1"/>
      <c r="F104" s="1"/>
      <c r="G104" s="1"/>
      <c r="H104" s="1"/>
    </row>
    <row r="105" spans="1:10">
      <c r="A105" s="1"/>
      <c r="B105" s="1"/>
      <c r="C105" s="1"/>
      <c r="D105" s="1"/>
      <c r="E105" s="1"/>
      <c r="F105" s="1"/>
      <c r="G105" s="1"/>
      <c r="H105" s="1"/>
    </row>
    <row r="106" spans="1:10">
      <c r="A106" s="1"/>
      <c r="B106" s="1" t="s">
        <v>117</v>
      </c>
      <c r="C106" s="1"/>
      <c r="D106" s="1"/>
      <c r="E106" s="1"/>
      <c r="F106" s="1"/>
      <c r="G106" s="1"/>
      <c r="H106" s="1"/>
    </row>
    <row r="107" spans="1:10">
      <c r="B107" s="1" t="s">
        <v>105</v>
      </c>
    </row>
    <row r="117" spans="2:2">
      <c r="B117" s="1"/>
    </row>
    <row r="118" spans="2:2">
      <c r="B118" s="1"/>
    </row>
  </sheetData>
  <mergeCells count="3">
    <mergeCell ref="E6:J6"/>
    <mergeCell ref="E7:J7"/>
    <mergeCell ref="E8:J8"/>
  </mergeCells>
  <hyperlinks>
    <hyperlink ref="B12" r:id="rId1" display="mailto:56ouo25@obraz-orenburg.ru"/>
  </hyperlinks>
  <pageMargins left="0" right="0" top="0" bottom="0" header="0" footer="0"/>
  <pageSetup paperSize="9" scale="85" orientation="portrait" horizontalDpi="180" verticalDpi="18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6:K55"/>
  <sheetViews>
    <sheetView topLeftCell="A10" zoomScale="80" zoomScaleNormal="80" workbookViewId="0">
      <selection activeCell="D34" sqref="D34"/>
    </sheetView>
  </sheetViews>
  <sheetFormatPr defaultRowHeight="14.4"/>
  <cols>
    <col min="1" max="1" width="2.6640625" customWidth="1"/>
    <col min="2" max="2" width="44.6640625" customWidth="1"/>
    <col min="3" max="3" width="14.77734375" customWidth="1"/>
    <col min="4" max="4" width="10.109375" customWidth="1"/>
    <col min="5" max="5" width="30.5546875" customWidth="1"/>
    <col min="6" max="6" width="14.109375" hidden="1" customWidth="1"/>
    <col min="7" max="7" width="12.6640625" hidden="1" customWidth="1"/>
    <col min="8" max="8" width="16.44140625" hidden="1" customWidth="1"/>
    <col min="9" max="9" width="15.33203125" hidden="1" customWidth="1"/>
    <col min="10" max="10" width="12.88671875" customWidth="1"/>
  </cols>
  <sheetData>
    <row r="6" spans="2:11" ht="15.6">
      <c r="B6" s="23" t="s">
        <v>91</v>
      </c>
      <c r="E6" s="36" t="s">
        <v>98</v>
      </c>
      <c r="F6" s="36"/>
      <c r="G6" s="36"/>
      <c r="H6" s="36"/>
      <c r="I6" s="36"/>
      <c r="J6" s="36"/>
      <c r="K6" s="27"/>
    </row>
    <row r="7" spans="2:11" ht="15.6">
      <c r="B7" s="23" t="s">
        <v>92</v>
      </c>
      <c r="E7" s="36" t="s">
        <v>99</v>
      </c>
      <c r="F7" s="36"/>
      <c r="G7" s="36"/>
      <c r="H7" s="36"/>
      <c r="I7" s="36"/>
      <c r="J7" s="36"/>
      <c r="K7" s="27"/>
    </row>
    <row r="8" spans="2:11" ht="15.6">
      <c r="B8" s="24" t="s">
        <v>93</v>
      </c>
      <c r="E8" s="36" t="s">
        <v>100</v>
      </c>
      <c r="F8" s="36"/>
      <c r="G8" s="36"/>
      <c r="H8" s="36"/>
      <c r="I8" s="36"/>
      <c r="J8" s="36"/>
      <c r="K8" s="27"/>
    </row>
    <row r="9" spans="2:11" ht="15.6">
      <c r="B9" s="24" t="s">
        <v>94</v>
      </c>
    </row>
    <row r="10" spans="2:11" ht="15.6">
      <c r="B10" s="24" t="s">
        <v>95</v>
      </c>
    </row>
    <row r="11" spans="2:11" ht="15.6">
      <c r="B11" s="25" t="s">
        <v>96</v>
      </c>
    </row>
    <row r="12" spans="2:11">
      <c r="B12" s="26" t="s">
        <v>97</v>
      </c>
    </row>
    <row r="13" spans="2:11">
      <c r="B13" s="1"/>
    </row>
    <row r="14" spans="2:11">
      <c r="B14" s="1"/>
    </row>
    <row r="15" spans="2:11">
      <c r="B15" s="1"/>
    </row>
    <row r="16" spans="2:11">
      <c r="B16" s="1"/>
    </row>
    <row r="17" spans="1:10">
      <c r="B17" s="1"/>
    </row>
    <row r="18" spans="1:10">
      <c r="B18" s="1"/>
    </row>
    <row r="19" spans="1:10">
      <c r="B19" s="1"/>
    </row>
    <row r="21" spans="1:10">
      <c r="A21" s="1"/>
      <c r="B21" s="3" t="s">
        <v>104</v>
      </c>
      <c r="C21" s="3"/>
      <c r="D21" s="3"/>
      <c r="E21" s="3"/>
      <c r="F21" s="3"/>
    </row>
    <row r="22" spans="1:10" ht="83.4">
      <c r="A22" s="4"/>
      <c r="B22" s="11" t="s">
        <v>0</v>
      </c>
      <c r="C22" s="7" t="s">
        <v>3</v>
      </c>
      <c r="D22" s="7" t="s">
        <v>6</v>
      </c>
      <c r="E22" s="13" t="s">
        <v>4</v>
      </c>
      <c r="F22" s="9" t="s">
        <v>60</v>
      </c>
      <c r="G22" s="9" t="s">
        <v>43</v>
      </c>
      <c r="H22" s="9" t="s">
        <v>58</v>
      </c>
      <c r="I22" s="19" t="s">
        <v>42</v>
      </c>
      <c r="J22" s="20" t="s">
        <v>85</v>
      </c>
    </row>
    <row r="23" spans="1:10">
      <c r="A23" s="4">
        <v>1</v>
      </c>
      <c r="B23" s="31" t="s">
        <v>25</v>
      </c>
      <c r="C23" s="8" t="s">
        <v>5</v>
      </c>
      <c r="D23" s="17">
        <v>1</v>
      </c>
      <c r="E23" s="4" t="str">
        <f>[34]зам!$B$6</f>
        <v>Агайдарова Галина Жеумбаевна</v>
      </c>
      <c r="F23" s="8">
        <f>[35]Лист1!$J$6+4090.44</f>
        <v>38935.421600000009</v>
      </c>
      <c r="G23" s="8">
        <f>F23*8</f>
        <v>311483.37280000007</v>
      </c>
      <c r="H23" s="8">
        <f>[34]зам!$J$6+2813.29</f>
        <v>39669.182810815102</v>
      </c>
      <c r="I23" s="8">
        <f>H23*4</f>
        <v>158676.73124326041</v>
      </c>
      <c r="J23" s="8">
        <f>(G23+I23)/12</f>
        <v>39180.008670271702</v>
      </c>
    </row>
    <row r="24" spans="1:10">
      <c r="A24" s="4"/>
      <c r="B24" s="6"/>
      <c r="C24" s="8" t="s">
        <v>9</v>
      </c>
      <c r="D24" s="17">
        <f>[34]зам!$D$16</f>
        <v>0.75</v>
      </c>
      <c r="E24" s="4" t="str">
        <f>[34]зам!$B$16</f>
        <v>Мосолова Наталья Павловна</v>
      </c>
      <c r="F24" s="8">
        <f>[35]Лист1!$J$16+2532.18</f>
        <v>23439.168960000003</v>
      </c>
      <c r="G24" s="8">
        <f t="shared" ref="G24:G28" si="0">F24*8</f>
        <v>187513.35168000002</v>
      </c>
      <c r="H24" s="8">
        <f>[34]зам!$J$16+2612.34</f>
        <v>24725.87568648906</v>
      </c>
      <c r="I24" s="8">
        <f t="shared" ref="I24:I28" si="1">H24*4</f>
        <v>98903.502745956241</v>
      </c>
      <c r="J24" s="8">
        <f t="shared" ref="J24:J28" si="2">(G24+I24)/12</f>
        <v>23868.071202163021</v>
      </c>
    </row>
    <row r="25" spans="1:10">
      <c r="A25" s="4"/>
      <c r="B25" s="6"/>
      <c r="C25" s="8" t="s">
        <v>9</v>
      </c>
      <c r="D25" s="17">
        <f>[34]зам!$D$17</f>
        <v>0.75</v>
      </c>
      <c r="E25" s="4" t="str">
        <f>[34]зам!$B$17</f>
        <v>Ильясова Раиса Салаватовна</v>
      </c>
      <c r="F25" s="8">
        <f>[35]Лист1!$J$17+2532.18</f>
        <v>23439.168960000003</v>
      </c>
      <c r="G25" s="8">
        <f t="shared" si="0"/>
        <v>187513.35168000002</v>
      </c>
      <c r="H25" s="8">
        <f>[34]зам!$J$17+2612.34</f>
        <v>24725.87568648906</v>
      </c>
      <c r="I25" s="8">
        <f t="shared" si="1"/>
        <v>98903.502745956241</v>
      </c>
      <c r="J25" s="8">
        <f t="shared" si="2"/>
        <v>23868.071202163021</v>
      </c>
    </row>
    <row r="26" spans="1:10">
      <c r="A26" s="4">
        <v>2</v>
      </c>
      <c r="B26" s="31" t="s">
        <v>26</v>
      </c>
      <c r="C26" s="8" t="s">
        <v>5</v>
      </c>
      <c r="D26" s="17">
        <v>1</v>
      </c>
      <c r="E26" s="4" t="str">
        <f>[36]зам!$B$6</f>
        <v>Кучаев Ильгиз Забирович</v>
      </c>
      <c r="F26" s="8">
        <f>[37]зам!$J$6+1871.14</f>
        <v>36393.697552344274</v>
      </c>
      <c r="G26" s="8">
        <f t="shared" si="0"/>
        <v>291149.58041875419</v>
      </c>
      <c r="H26" s="8">
        <f>[36]зам!$J$6+2023.46</f>
        <v>42658.244686989077</v>
      </c>
      <c r="I26" s="8">
        <f t="shared" si="1"/>
        <v>170632.97874795631</v>
      </c>
      <c r="J26" s="8">
        <f>(G26+I26)/12</f>
        <v>38481.879930559204</v>
      </c>
    </row>
    <row r="27" spans="1:10">
      <c r="A27" s="16"/>
      <c r="B27" s="16"/>
      <c r="C27" s="4" t="s">
        <v>9</v>
      </c>
      <c r="D27" s="14">
        <v>1</v>
      </c>
      <c r="E27" s="4" t="str">
        <f>[36]зам!$B$16</f>
        <v>Туюшева Луиза Зарифовна</v>
      </c>
      <c r="F27" s="8">
        <f>[37]зам!$J$16+1737.49</f>
        <v>29355.536041875428</v>
      </c>
      <c r="G27" s="8">
        <f t="shared" si="0"/>
        <v>234844.28833500342</v>
      </c>
      <c r="H27" s="8">
        <f>[36]зам!$J$16+1878.93</f>
        <v>34386.757749591263</v>
      </c>
      <c r="I27" s="8">
        <f t="shared" si="1"/>
        <v>137547.03099836505</v>
      </c>
      <c r="J27" s="8">
        <f t="shared" si="2"/>
        <v>31032.609944447369</v>
      </c>
    </row>
    <row r="28" spans="1:10">
      <c r="A28" s="16"/>
      <c r="B28" s="16"/>
      <c r="C28" s="4" t="s">
        <v>9</v>
      </c>
      <c r="D28" s="14">
        <v>1</v>
      </c>
      <c r="E28" s="4" t="str">
        <f>[36]зам!$B$17</f>
        <v>Березина Татьяна Владимировна</v>
      </c>
      <c r="F28" s="8">
        <f>[37]зам!$J$17+1737.49</f>
        <v>29355.536041875428</v>
      </c>
      <c r="G28" s="8">
        <f t="shared" si="0"/>
        <v>234844.28833500342</v>
      </c>
      <c r="H28" s="8">
        <f>[36]зам!$J$17+1878.93</f>
        <v>34386.757749591263</v>
      </c>
      <c r="I28" s="8">
        <f t="shared" si="1"/>
        <v>137547.03099836505</v>
      </c>
      <c r="J28" s="8">
        <f t="shared" si="2"/>
        <v>31032.609944447369</v>
      </c>
    </row>
    <row r="29" spans="1:10">
      <c r="A29" s="16"/>
      <c r="B29" s="5" t="s">
        <v>1</v>
      </c>
      <c r="C29" s="5"/>
      <c r="D29" s="21">
        <f>D23+D24+D25+D26+D27+D28</f>
        <v>5.5</v>
      </c>
      <c r="E29" s="16"/>
      <c r="F29" s="12">
        <f>SUM(F23:F28)</f>
        <v>180918.52915609514</v>
      </c>
      <c r="G29" s="12">
        <f t="shared" ref="G29:I29" si="3">SUM(G23:G28)</f>
        <v>1447348.2332487612</v>
      </c>
      <c r="H29" s="12">
        <f t="shared" si="3"/>
        <v>200552.69436996483</v>
      </c>
      <c r="I29" s="12">
        <f t="shared" si="3"/>
        <v>802210.7774798593</v>
      </c>
      <c r="J29" s="16"/>
    </row>
    <row r="32" spans="1:10">
      <c r="B32" s="1" t="s">
        <v>102</v>
      </c>
      <c r="C32" s="1"/>
      <c r="D32" s="1"/>
      <c r="E32" s="37" t="s">
        <v>103</v>
      </c>
      <c r="F32" s="37"/>
      <c r="G32" s="37"/>
      <c r="H32" s="37"/>
      <c r="I32" s="37"/>
      <c r="J32" s="37"/>
    </row>
    <row r="37" spans="1:2">
      <c r="A37" s="1"/>
      <c r="B37" s="28"/>
    </row>
    <row r="38" spans="1:2">
      <c r="A38" s="1"/>
      <c r="B38" s="28"/>
    </row>
    <row r="39" spans="1:2">
      <c r="A39" s="1"/>
      <c r="B39" s="1"/>
    </row>
    <row r="48" spans="1:2">
      <c r="B48" s="29" t="s">
        <v>117</v>
      </c>
    </row>
    <row r="49" spans="2:2">
      <c r="B49" s="29" t="s">
        <v>105</v>
      </c>
    </row>
    <row r="54" spans="2:2">
      <c r="B54" s="28"/>
    </row>
    <row r="55" spans="2:2">
      <c r="B55" s="28"/>
    </row>
  </sheetData>
  <mergeCells count="4">
    <mergeCell ref="E6:J6"/>
    <mergeCell ref="E7:J7"/>
    <mergeCell ref="E8:J8"/>
    <mergeCell ref="E32:J32"/>
  </mergeCells>
  <hyperlinks>
    <hyperlink ref="B12" r:id="rId1" display="mailto:56ouo25@obraz-orenburg.ru"/>
  </hyperlinks>
  <pageMargins left="0.19685039370078741" right="0" top="0" bottom="0" header="0" footer="0"/>
  <pageSetup paperSize="9" scale="85" orientation="portrait" horizontalDpi="180" verticalDpi="18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6:R67"/>
  <sheetViews>
    <sheetView topLeftCell="A23" zoomScale="80" zoomScaleNormal="80" workbookViewId="0">
      <selection activeCell="B52" sqref="B52"/>
    </sheetView>
  </sheetViews>
  <sheetFormatPr defaultRowHeight="14.4"/>
  <cols>
    <col min="1" max="1" width="3.6640625" customWidth="1"/>
    <col min="2" max="2" width="32.5546875" customWidth="1"/>
    <col min="3" max="3" width="14.33203125" customWidth="1"/>
    <col min="4" max="4" width="10.6640625" hidden="1" customWidth="1"/>
    <col min="5" max="5" width="0.6640625" hidden="1" customWidth="1"/>
    <col min="6" max="6" width="10.6640625" customWidth="1"/>
    <col min="7" max="7" width="34.88671875" customWidth="1"/>
    <col min="8" max="8" width="16.109375" hidden="1" customWidth="1"/>
    <col min="9" max="9" width="11.6640625" hidden="1" customWidth="1"/>
    <col min="10" max="10" width="15" hidden="1" customWidth="1"/>
    <col min="11" max="11" width="11.6640625" hidden="1" customWidth="1"/>
    <col min="12" max="12" width="15.21875" customWidth="1"/>
    <col min="13" max="13" width="9.21875" hidden="1" customWidth="1"/>
  </cols>
  <sheetData>
    <row r="6" spans="2:13" ht="31.2">
      <c r="B6" s="23" t="s">
        <v>91</v>
      </c>
      <c r="G6" s="36" t="s">
        <v>106</v>
      </c>
      <c r="H6" s="36"/>
      <c r="I6" s="36"/>
      <c r="J6" s="36"/>
      <c r="K6" s="36"/>
      <c r="L6" s="36"/>
      <c r="M6" s="36"/>
    </row>
    <row r="7" spans="2:13" ht="15.6">
      <c r="B7" s="23" t="s">
        <v>92</v>
      </c>
      <c r="G7" s="36" t="s">
        <v>99</v>
      </c>
      <c r="H7" s="36"/>
      <c r="I7" s="36"/>
      <c r="J7" s="36"/>
      <c r="K7" s="36"/>
      <c r="L7" s="36"/>
      <c r="M7" s="36"/>
    </row>
    <row r="8" spans="2:13" ht="31.2">
      <c r="B8" s="24" t="s">
        <v>93</v>
      </c>
      <c r="G8" s="36" t="s">
        <v>100</v>
      </c>
      <c r="H8" s="36"/>
      <c r="I8" s="36"/>
      <c r="J8" s="36"/>
      <c r="K8" s="36"/>
      <c r="L8" s="36"/>
      <c r="M8" s="36"/>
    </row>
    <row r="9" spans="2:13" ht="15.6">
      <c r="B9" s="24" t="s">
        <v>94</v>
      </c>
    </row>
    <row r="10" spans="2:13" ht="15.6">
      <c r="B10" s="24" t="s">
        <v>95</v>
      </c>
    </row>
    <row r="11" spans="2:13" ht="15.6">
      <c r="B11" s="25" t="s">
        <v>96</v>
      </c>
    </row>
    <row r="12" spans="2:13">
      <c r="B12" s="26" t="s">
        <v>97</v>
      </c>
    </row>
    <row r="18" spans="1:14">
      <c r="A18" s="1"/>
      <c r="B18" s="3" t="s">
        <v>27</v>
      </c>
      <c r="C18" s="3"/>
      <c r="D18" s="3"/>
      <c r="E18" s="3"/>
    </row>
    <row r="19" spans="1:14" ht="89.4" customHeight="1">
      <c r="A19" s="4"/>
      <c r="B19" s="5" t="s">
        <v>0</v>
      </c>
      <c r="C19" s="7" t="s">
        <v>3</v>
      </c>
      <c r="D19" s="7" t="s">
        <v>6</v>
      </c>
      <c r="E19" s="13" t="s">
        <v>4</v>
      </c>
      <c r="F19" s="7" t="s">
        <v>6</v>
      </c>
      <c r="G19" s="13" t="s">
        <v>4</v>
      </c>
      <c r="H19" s="9" t="s">
        <v>59</v>
      </c>
      <c r="I19" s="9" t="s">
        <v>43</v>
      </c>
      <c r="J19" s="9" t="s">
        <v>58</v>
      </c>
      <c r="K19" s="19" t="s">
        <v>42</v>
      </c>
      <c r="L19" s="20" t="s">
        <v>85</v>
      </c>
    </row>
    <row r="20" spans="1:14">
      <c r="A20" s="4">
        <v>1</v>
      </c>
      <c r="B20" s="2" t="s">
        <v>28</v>
      </c>
      <c r="C20" s="14" t="s">
        <v>41</v>
      </c>
      <c r="D20" s="10"/>
      <c r="E20" s="10"/>
      <c r="F20" s="14">
        <v>1</v>
      </c>
      <c r="G20" s="8" t="s">
        <v>44</v>
      </c>
      <c r="H20" s="8">
        <f>[38]рук!$J$77+826.37</f>
        <v>25226.080999999998</v>
      </c>
      <c r="I20" s="8">
        <f>H20*8</f>
        <v>201808.64799999999</v>
      </c>
      <c r="J20" s="8">
        <f>[39]рук!$J$77:$S$77+734.93</f>
        <v>26610.954905501869</v>
      </c>
      <c r="K20" s="8">
        <f>J20*4</f>
        <v>106443.81962200748</v>
      </c>
      <c r="L20" s="14">
        <f>(I20+K20)/12</f>
        <v>25687.705635167291</v>
      </c>
    </row>
    <row r="21" spans="1:14">
      <c r="A21" s="4">
        <v>2</v>
      </c>
      <c r="B21" s="2" t="s">
        <v>29</v>
      </c>
      <c r="C21" s="14" t="s">
        <v>41</v>
      </c>
      <c r="D21" s="10"/>
      <c r="E21" s="10"/>
      <c r="F21" s="14">
        <v>1</v>
      </c>
      <c r="G21" s="8" t="s">
        <v>45</v>
      </c>
      <c r="H21" s="8">
        <f>[40]рук!$J$71+1257.87</f>
        <v>22170.707399999999</v>
      </c>
      <c r="I21" s="8">
        <f t="shared" ref="I21:I33" si="0">H21*8</f>
        <v>177365.65919999999</v>
      </c>
      <c r="J21" s="8">
        <f>[41]рук!$J$71:$S$71+1267.19</f>
        <v>27678.963271784807</v>
      </c>
      <c r="K21" s="8">
        <f t="shared" ref="K21:K33" si="1">J21*4</f>
        <v>110715.85308713923</v>
      </c>
      <c r="L21" s="14">
        <f>(I21+K21)/12</f>
        <v>24006.792690594932</v>
      </c>
    </row>
    <row r="22" spans="1:14">
      <c r="A22" s="4">
        <v>3</v>
      </c>
      <c r="B22" s="2" t="s">
        <v>30</v>
      </c>
      <c r="C22" s="14" t="s">
        <v>41</v>
      </c>
      <c r="D22" s="10"/>
      <c r="E22" s="10"/>
      <c r="F22" s="14">
        <v>0.3</v>
      </c>
      <c r="G22" s="8" t="s">
        <v>22</v>
      </c>
      <c r="H22" s="8"/>
      <c r="I22" s="8">
        <f t="shared" si="0"/>
        <v>0</v>
      </c>
      <c r="J22" s="8">
        <f>[42]рук!$J$54:$S$54</f>
        <v>18309.635520105639</v>
      </c>
      <c r="K22" s="8">
        <f t="shared" si="1"/>
        <v>73238.542080422558</v>
      </c>
      <c r="L22" s="14">
        <f>K22/4*F22</f>
        <v>5492.8906560316918</v>
      </c>
    </row>
    <row r="23" spans="1:14">
      <c r="A23" s="4">
        <v>4</v>
      </c>
      <c r="B23" s="2" t="s">
        <v>31</v>
      </c>
      <c r="C23" s="14" t="s">
        <v>41</v>
      </c>
      <c r="D23" s="10"/>
      <c r="E23" s="10"/>
      <c r="F23" s="14">
        <v>1</v>
      </c>
      <c r="G23" s="8" t="s">
        <v>46</v>
      </c>
      <c r="H23" s="8">
        <f>21513.21+1250.46</f>
        <v>22763.67</v>
      </c>
      <c r="I23" s="8">
        <f t="shared" si="0"/>
        <v>182109.36</v>
      </c>
      <c r="J23" s="8">
        <f>[43]рук!$J$77:$S$77+2006.07</f>
        <v>26162.228491156806</v>
      </c>
      <c r="K23" s="8">
        <f t="shared" si="1"/>
        <v>104648.91396462722</v>
      </c>
      <c r="L23" s="14">
        <f>(I23+K23)/12</f>
        <v>23896.522830385598</v>
      </c>
    </row>
    <row r="24" spans="1:14">
      <c r="A24" s="4">
        <v>5</v>
      </c>
      <c r="B24" s="2" t="s">
        <v>32</v>
      </c>
      <c r="C24" s="14" t="s">
        <v>41</v>
      </c>
      <c r="D24" s="10"/>
      <c r="E24" s="10"/>
      <c r="F24" s="14">
        <v>1</v>
      </c>
      <c r="G24" s="8" t="s">
        <v>47</v>
      </c>
      <c r="H24" s="8">
        <f>[44]рук!$J$96+1474.56</f>
        <v>23156.547299999998</v>
      </c>
      <c r="I24" s="8">
        <f t="shared" si="0"/>
        <v>185252.37839999999</v>
      </c>
      <c r="J24" s="8">
        <f>[45]рук!$J$81:$S$81+971.51</f>
        <v>27506.604131868666</v>
      </c>
      <c r="K24" s="8">
        <f t="shared" si="1"/>
        <v>110026.41652747466</v>
      </c>
      <c r="L24" s="14">
        <f>(I24+K24)/12</f>
        <v>24606.566243956218</v>
      </c>
    </row>
    <row r="25" spans="1:14">
      <c r="A25" s="4">
        <v>6</v>
      </c>
      <c r="B25" s="2" t="s">
        <v>33</v>
      </c>
      <c r="C25" s="14" t="s">
        <v>41</v>
      </c>
      <c r="D25" s="10"/>
      <c r="E25" s="10"/>
      <c r="F25" s="14">
        <v>1</v>
      </c>
      <c r="G25" s="8" t="s">
        <v>55</v>
      </c>
      <c r="H25" s="8">
        <f>13294.72+647.84</f>
        <v>13942.56</v>
      </c>
      <c r="I25" s="8">
        <f t="shared" si="0"/>
        <v>111540.48</v>
      </c>
      <c r="J25" s="8"/>
      <c r="K25" s="8">
        <f t="shared" si="1"/>
        <v>0</v>
      </c>
      <c r="L25" s="14">
        <f>I25/8</f>
        <v>13942.56</v>
      </c>
      <c r="M25" s="39"/>
      <c r="N25" s="39"/>
    </row>
    <row r="26" spans="1:14">
      <c r="A26" s="4"/>
      <c r="B26" s="2"/>
      <c r="C26" s="14" t="s">
        <v>41</v>
      </c>
      <c r="D26" s="10"/>
      <c r="E26" s="10"/>
      <c r="F26" s="14">
        <v>0.9</v>
      </c>
      <c r="G26" s="8" t="s">
        <v>56</v>
      </c>
      <c r="H26" s="8"/>
      <c r="I26" s="8">
        <f t="shared" si="0"/>
        <v>0</v>
      </c>
      <c r="J26" s="8">
        <f>[46]рук!$J$85:$S$85+843.56</f>
        <v>20829.756950992702</v>
      </c>
      <c r="K26" s="8">
        <f t="shared" si="1"/>
        <v>83319.027803970806</v>
      </c>
      <c r="L26" s="14">
        <f>K26/4*F26</f>
        <v>18746.781255893431</v>
      </c>
      <c r="M26" s="39"/>
      <c r="N26" s="39"/>
    </row>
    <row r="27" spans="1:14">
      <c r="A27" s="4">
        <v>7</v>
      </c>
      <c r="B27" s="2" t="s">
        <v>34</v>
      </c>
      <c r="C27" s="14" t="s">
        <v>41</v>
      </c>
      <c r="D27" s="10"/>
      <c r="E27" s="10"/>
      <c r="F27" s="14">
        <v>1</v>
      </c>
      <c r="G27" s="8" t="s">
        <v>48</v>
      </c>
      <c r="H27" s="8">
        <f>[47]рук!$J$77+1236.98</f>
        <v>23142.899899999997</v>
      </c>
      <c r="I27" s="8">
        <f t="shared" si="0"/>
        <v>185143.19919999997</v>
      </c>
      <c r="J27" s="8">
        <f>[48]рук!$J$77:$S$77+981.14</f>
        <v>24706.258469289918</v>
      </c>
      <c r="K27" s="8">
        <f t="shared" si="1"/>
        <v>98825.033877159673</v>
      </c>
      <c r="L27" s="14">
        <f>(I27+K27)/12</f>
        <v>23664.019423096634</v>
      </c>
    </row>
    <row r="28" spans="1:14">
      <c r="A28" s="4">
        <v>8</v>
      </c>
      <c r="B28" s="2" t="s">
        <v>35</v>
      </c>
      <c r="C28" s="14" t="s">
        <v>41</v>
      </c>
      <c r="D28" s="10"/>
      <c r="E28" s="10"/>
      <c r="F28" s="14">
        <v>1</v>
      </c>
      <c r="G28" s="8" t="s">
        <v>49</v>
      </c>
      <c r="H28" s="8">
        <f>[49]рук!$J$77+1115.98</f>
        <v>22482.271599999996</v>
      </c>
      <c r="I28" s="8">
        <f t="shared" si="0"/>
        <v>179858.17279999997</v>
      </c>
      <c r="J28" s="8">
        <f>[50]рук!$J$77:$S$77+1073.45</f>
        <v>27247.363918471336</v>
      </c>
      <c r="K28" s="8">
        <f t="shared" si="1"/>
        <v>108989.45567388534</v>
      </c>
      <c r="L28" s="14">
        <f t="shared" ref="L28:L33" si="2">(I28+K28)/12</f>
        <v>24070.635706157107</v>
      </c>
    </row>
    <row r="29" spans="1:14">
      <c r="A29" s="4">
        <v>9</v>
      </c>
      <c r="B29" s="2" t="s">
        <v>36</v>
      </c>
      <c r="C29" s="14" t="s">
        <v>41</v>
      </c>
      <c r="D29" s="10"/>
      <c r="E29" s="10"/>
      <c r="F29" s="14">
        <v>1</v>
      </c>
      <c r="G29" s="8" t="s">
        <v>50</v>
      </c>
      <c r="H29" s="8">
        <f>[51]рук!$J$59+810.48</f>
        <v>21231.27564</v>
      </c>
      <c r="I29" s="8">
        <f t="shared" si="0"/>
        <v>169850.20512</v>
      </c>
      <c r="J29" s="8">
        <f>[52]рук!$J$59:$S$59+889.43</f>
        <v>28263.856522683698</v>
      </c>
      <c r="K29" s="8">
        <f t="shared" si="1"/>
        <v>113055.42609073479</v>
      </c>
      <c r="L29" s="14">
        <f t="shared" si="2"/>
        <v>23575.469267561231</v>
      </c>
    </row>
    <row r="30" spans="1:14">
      <c r="A30" s="4">
        <v>10</v>
      </c>
      <c r="B30" s="2" t="s">
        <v>37</v>
      </c>
      <c r="C30" s="14" t="s">
        <v>41</v>
      </c>
      <c r="D30" s="10"/>
      <c r="E30" s="10"/>
      <c r="F30" s="14">
        <v>1</v>
      </c>
      <c r="G30" s="8" t="s">
        <v>51</v>
      </c>
      <c r="H30" s="8">
        <f>[53]рук!$J$60+513.78</f>
        <v>15718.697279999998</v>
      </c>
      <c r="I30" s="8">
        <f t="shared" si="0"/>
        <v>125749.57823999999</v>
      </c>
      <c r="J30" s="8">
        <f>[54]рук!$J$60:$S$60+615.62</f>
        <v>20802.760885068208</v>
      </c>
      <c r="K30" s="8">
        <f t="shared" si="1"/>
        <v>83211.043540272833</v>
      </c>
      <c r="L30" s="14">
        <f t="shared" si="2"/>
        <v>17413.385148356068</v>
      </c>
    </row>
    <row r="31" spans="1:14">
      <c r="A31" s="4">
        <v>11</v>
      </c>
      <c r="B31" s="2" t="s">
        <v>38</v>
      </c>
      <c r="C31" s="14" t="s">
        <v>41</v>
      </c>
      <c r="D31" s="10"/>
      <c r="E31" s="10"/>
      <c r="F31" s="14">
        <v>1</v>
      </c>
      <c r="G31" s="8" t="s">
        <v>52</v>
      </c>
      <c r="H31" s="8">
        <f>[55]рук!$J$77+460.51</f>
        <v>15721.295200000002</v>
      </c>
      <c r="I31" s="8">
        <f t="shared" si="0"/>
        <v>125770.36160000002</v>
      </c>
      <c r="J31" s="8">
        <f>[56]рук!$J$78:$S$78+495.95</f>
        <v>18858.279919864071</v>
      </c>
      <c r="K31" s="8">
        <f t="shared" si="1"/>
        <v>75433.119679456286</v>
      </c>
      <c r="L31" s="14">
        <f t="shared" si="2"/>
        <v>16766.956773288024</v>
      </c>
    </row>
    <row r="32" spans="1:14">
      <c r="A32" s="4">
        <v>12</v>
      </c>
      <c r="B32" s="2" t="s">
        <v>39</v>
      </c>
      <c r="C32" s="14" t="s">
        <v>41</v>
      </c>
      <c r="D32" s="10"/>
      <c r="E32" s="10"/>
      <c r="F32" s="14">
        <v>1</v>
      </c>
      <c r="G32" s="8" t="s">
        <v>53</v>
      </c>
      <c r="H32" s="8">
        <f>[57]рук!$J$61+2351.21</f>
        <v>23738.305100000001</v>
      </c>
      <c r="I32" s="8">
        <f t="shared" si="0"/>
        <v>189906.44080000001</v>
      </c>
      <c r="J32" s="8">
        <f>[58]рук!$J$61:$S$61+2180.02</f>
        <v>22623.695251754863</v>
      </c>
      <c r="K32" s="8">
        <f t="shared" si="1"/>
        <v>90494.781007019454</v>
      </c>
      <c r="L32" s="14">
        <f t="shared" si="2"/>
        <v>23366.768483918288</v>
      </c>
    </row>
    <row r="33" spans="1:18">
      <c r="A33" s="4">
        <v>13</v>
      </c>
      <c r="B33" s="2" t="s">
        <v>40</v>
      </c>
      <c r="C33" s="14" t="s">
        <v>41</v>
      </c>
      <c r="D33" s="10"/>
      <c r="E33" s="10"/>
      <c r="F33" s="14">
        <v>1</v>
      </c>
      <c r="G33" s="8" t="s">
        <v>54</v>
      </c>
      <c r="H33" s="8">
        <f>[59]рук!$J$62+726.07</f>
        <v>23108.524270557031</v>
      </c>
      <c r="I33" s="8">
        <f t="shared" si="0"/>
        <v>184868.19416445625</v>
      </c>
      <c r="J33" s="8">
        <f>[60]рук!$J$62:$S$62+744.96</f>
        <v>25149.741127320958</v>
      </c>
      <c r="K33" s="8">
        <f t="shared" si="1"/>
        <v>100598.96450928383</v>
      </c>
      <c r="L33" s="14">
        <f t="shared" si="2"/>
        <v>23788.929889478342</v>
      </c>
    </row>
    <row r="34" spans="1:18">
      <c r="A34" s="4">
        <v>14</v>
      </c>
      <c r="B34" s="2" t="s">
        <v>57</v>
      </c>
      <c r="C34" s="14" t="s">
        <v>41</v>
      </c>
      <c r="D34" s="10"/>
      <c r="E34" s="10"/>
      <c r="F34" s="14">
        <v>1</v>
      </c>
      <c r="G34" s="8" t="s">
        <v>86</v>
      </c>
      <c r="H34" s="8"/>
      <c r="I34" s="8"/>
      <c r="J34" s="8"/>
      <c r="K34" s="8"/>
      <c r="L34" s="14">
        <v>52735.93</v>
      </c>
    </row>
    <row r="35" spans="1:18">
      <c r="A35" s="4"/>
      <c r="B35" s="2"/>
      <c r="C35" s="14" t="s">
        <v>82</v>
      </c>
      <c r="D35" s="10"/>
      <c r="E35" s="10"/>
      <c r="F35" s="14">
        <v>0.5</v>
      </c>
      <c r="G35" s="8" t="s">
        <v>87</v>
      </c>
      <c r="H35" s="8"/>
      <c r="I35" s="8"/>
      <c r="J35" s="8"/>
      <c r="K35" s="8"/>
      <c r="L35" s="14">
        <v>15114.3</v>
      </c>
    </row>
    <row r="36" spans="1:18">
      <c r="A36" s="4">
        <v>15</v>
      </c>
      <c r="B36" s="2" t="s">
        <v>88</v>
      </c>
      <c r="C36" s="14" t="s">
        <v>41</v>
      </c>
      <c r="D36" s="10"/>
      <c r="E36" s="10"/>
      <c r="F36" s="14">
        <v>1</v>
      </c>
      <c r="G36" s="8" t="s">
        <v>89</v>
      </c>
      <c r="H36" s="8"/>
      <c r="I36" s="8"/>
      <c r="J36" s="8"/>
      <c r="K36" s="8"/>
      <c r="L36" s="14">
        <v>32445.4</v>
      </c>
    </row>
    <row r="37" spans="1:18">
      <c r="A37" s="4"/>
      <c r="B37" s="2"/>
      <c r="C37" s="14" t="s">
        <v>82</v>
      </c>
      <c r="D37" s="10"/>
      <c r="E37" s="10"/>
      <c r="F37" s="14">
        <v>0.5</v>
      </c>
      <c r="G37" s="8" t="s">
        <v>90</v>
      </c>
      <c r="H37" s="8"/>
      <c r="I37" s="8"/>
      <c r="J37" s="8"/>
      <c r="K37" s="8"/>
      <c r="L37" s="14">
        <v>9826.17</v>
      </c>
    </row>
    <row r="38" spans="1:18">
      <c r="A38" s="4"/>
      <c r="B38" s="22" t="s">
        <v>1</v>
      </c>
      <c r="C38" s="14"/>
      <c r="D38" s="10"/>
      <c r="E38" s="10"/>
      <c r="F38" s="21">
        <f>SUM(F20:F37)</f>
        <v>16.2</v>
      </c>
      <c r="G38" s="8"/>
      <c r="H38" s="12">
        <f>SUM(H20:H33)</f>
        <v>252402.83469055704</v>
      </c>
      <c r="I38" s="12">
        <f>SUM(I20:I33)</f>
        <v>2019222.6775244563</v>
      </c>
      <c r="J38" s="12">
        <f>SUM(J20:J33)</f>
        <v>314750.09936586354</v>
      </c>
      <c r="K38" s="12">
        <f>SUM(K20:K33)</f>
        <v>1259000.3974634542</v>
      </c>
      <c r="L38" s="8"/>
    </row>
    <row r="39" spans="1:18">
      <c r="A39" s="1"/>
      <c r="B39" s="1"/>
      <c r="C39" s="1"/>
      <c r="D39" s="1"/>
      <c r="E39" s="1"/>
      <c r="F39" s="1"/>
      <c r="G39" s="1"/>
      <c r="H39" s="1"/>
      <c r="I39" s="18"/>
      <c r="J39" s="18"/>
      <c r="K39" s="18"/>
    </row>
    <row r="40" spans="1:18">
      <c r="A40" s="1"/>
      <c r="B40" s="33" t="s">
        <v>107</v>
      </c>
      <c r="C40" s="33"/>
      <c r="D40" s="33"/>
      <c r="E40" s="33"/>
      <c r="F40" s="33"/>
      <c r="G40" s="33"/>
      <c r="H40" s="33"/>
      <c r="I40" s="34"/>
      <c r="J40" s="34"/>
      <c r="K40" s="34"/>
      <c r="L40" s="34"/>
      <c r="M40" s="32"/>
      <c r="N40" s="32"/>
      <c r="O40" s="32"/>
      <c r="P40" s="32"/>
      <c r="Q40" s="32"/>
      <c r="R40" s="32"/>
    </row>
    <row r="41" spans="1:18">
      <c r="A41" s="1"/>
      <c r="B41" s="38" t="s">
        <v>108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8">
      <c r="A42" s="1"/>
      <c r="B42" s="1"/>
      <c r="C42" s="1"/>
      <c r="D42" s="1"/>
      <c r="E42" s="1"/>
      <c r="F42" s="1"/>
      <c r="G42" s="1"/>
      <c r="H42" s="1"/>
    </row>
    <row r="43" spans="1:18">
      <c r="A43" s="1"/>
      <c r="B43" s="1"/>
      <c r="C43" s="1"/>
      <c r="D43" s="1"/>
      <c r="E43" s="1"/>
      <c r="F43" s="1"/>
      <c r="G43" s="1"/>
      <c r="H43" s="1"/>
    </row>
    <row r="44" spans="1:18">
      <c r="A44" s="1"/>
      <c r="B44" s="1" t="s">
        <v>102</v>
      </c>
      <c r="C44" s="1"/>
      <c r="D44" s="1"/>
      <c r="E44" s="1"/>
      <c r="F44" s="1"/>
      <c r="G44" s="30" t="s">
        <v>103</v>
      </c>
      <c r="H44" s="1"/>
    </row>
    <row r="45" spans="1:18">
      <c r="A45" s="1"/>
      <c r="B45" s="1"/>
      <c r="C45" s="1"/>
      <c r="D45" s="1"/>
      <c r="E45" s="1"/>
      <c r="F45" s="1"/>
      <c r="G45" s="1"/>
      <c r="H45" s="1"/>
    </row>
    <row r="46" spans="1:18">
      <c r="A46" s="1"/>
      <c r="B46" s="1"/>
      <c r="C46" s="1"/>
      <c r="D46" s="1"/>
      <c r="E46" s="1"/>
      <c r="F46" s="1"/>
      <c r="G46" s="1"/>
      <c r="H46" s="1"/>
    </row>
    <row r="47" spans="1:18">
      <c r="A47" s="1"/>
      <c r="B47" s="1"/>
      <c r="C47" s="1"/>
      <c r="D47" s="1"/>
      <c r="E47" s="1"/>
      <c r="F47" s="1"/>
      <c r="G47" s="1"/>
      <c r="H47" s="1"/>
    </row>
    <row r="48" spans="1:18">
      <c r="A48" s="28"/>
      <c r="B48" s="28"/>
      <c r="C48" s="1"/>
      <c r="D48" s="1"/>
      <c r="E48" s="1"/>
      <c r="F48" s="1"/>
      <c r="G48" s="1"/>
      <c r="H48" s="1"/>
    </row>
    <row r="49" spans="1:8">
      <c r="A49" s="28"/>
      <c r="B49" s="28"/>
      <c r="C49" s="1"/>
      <c r="D49" s="1"/>
      <c r="E49" s="1"/>
      <c r="F49" s="1"/>
      <c r="G49" s="1"/>
      <c r="H49" s="1"/>
    </row>
    <row r="52" spans="1:8">
      <c r="B52" s="28" t="s">
        <v>117</v>
      </c>
    </row>
    <row r="53" spans="1:8">
      <c r="B53" s="28" t="s">
        <v>101</v>
      </c>
    </row>
    <row r="66" spans="2:3">
      <c r="B66" s="28"/>
      <c r="C66" s="28"/>
    </row>
    <row r="67" spans="2:3">
      <c r="B67" s="28"/>
      <c r="C67" s="28"/>
    </row>
  </sheetData>
  <mergeCells count="6">
    <mergeCell ref="B41:L41"/>
    <mergeCell ref="M26:N26"/>
    <mergeCell ref="M25:N25"/>
    <mergeCell ref="G6:M6"/>
    <mergeCell ref="G7:M7"/>
    <mergeCell ref="G8:M8"/>
  </mergeCells>
  <hyperlinks>
    <hyperlink ref="B12" r:id="rId1" display="mailto:56ouo25@obraz-orenburg.ru"/>
  </hyperlinks>
  <pageMargins left="0" right="0" top="0" bottom="0" header="0" footer="0"/>
  <pageSetup paperSize="9" scale="85" orientation="portrait" horizontalDpi="180" verticalDpi="18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школы </vt:lpstr>
      <vt:lpstr>доп.обр.</vt:lpstr>
      <vt:lpstr>сады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2017-03-28T04:07:48Z</dcterms:modified>
</cp:coreProperties>
</file>